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3.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https://arionbanki-my.sharepoint.com/personal/hrafnhildur_l_jonsdottir_arionbanki_is/Documents/Allskonar/Verkefni fyrir reksturinn/Verkefni fyrir Guðný 2025/"/>
    </mc:Choice>
  </mc:AlternateContent>
  <xr:revisionPtr revIDLastSave="1121" documentId="8_{DCA0FF07-D3FF-435E-8EDA-D09DEEADFA38}" xr6:coauthVersionLast="47" xr6:coauthVersionMax="47" xr10:uidLastSave="{64FF1C06-507C-460E-8A41-518EFC3102D9}"/>
  <workbookProtection workbookAlgorithmName="SHA-512" workbookHashValue="gHofBKHQbhO+sDswNyvs19zhRXS+aYfaz8d7dBpUV3haiTIKCIv4k1KWTaOCDLn1wNJoLWN+wn+5OSRONSu+xA==" workbookSaltValue="fr78pReFZqzkMbPPn3DDbQ==" workbookSpinCount="100000" lockStructure="1"/>
  <bookViews>
    <workbookView xWindow="1290" yWindow="2790" windowWidth="21915" windowHeight="14415" xr2:uid="{00000000-000D-0000-FFFF-FFFF00000000}"/>
  </bookViews>
  <sheets>
    <sheet name="Reiknivél" sheetId="42" r:id="rId1"/>
    <sheet name="Aðalskjal gamalt" sheetId="47" state="hidden" r:id="rId2"/>
    <sheet name="Reikningur" sheetId="39" state="hidden" r:id="rId3"/>
    <sheet name="Frjálsa leiðin" sheetId="1" state="hidden" r:id="rId4"/>
    <sheet name="Erfanlega leiðin" sheetId="13" state="hidden" r:id="rId5"/>
    <sheet name="Frjálsa lækkun hækkun" sheetId="25" state="hidden" r:id="rId6"/>
    <sheet name="LB hækkun lækkun" sheetId="29" state="hidden" r:id="rId7"/>
    <sheet name="Erfanlega lækkun lífeyris" sheetId="35" state="hidden" r:id="rId8"/>
  </sheets>
  <definedNames>
    <definedName name="m_r">Reikningur!$F$14</definedName>
    <definedName name="m_rate">#REF!</definedName>
    <definedName name="month_r">#REF!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9" i="42" l="1"/>
  <c r="D13" i="42" l="1"/>
  <c r="C14" i="42"/>
  <c r="D42" i="47" l="1"/>
  <c r="D37" i="39" l="1"/>
  <c r="C41" i="47" l="1"/>
  <c r="C40" i="47"/>
  <c r="C39" i="42"/>
  <c r="D41" i="39"/>
  <c r="D41" i="47" s="1"/>
  <c r="D40" i="39"/>
  <c r="C56" i="47"/>
  <c r="K40" i="42"/>
  <c r="C55" i="39"/>
  <c r="D40" i="47" l="1"/>
  <c r="C58" i="39"/>
  <c r="C51" i="39"/>
  <c r="E37" i="39"/>
  <c r="D41" i="42"/>
  <c r="C45" i="42"/>
  <c r="C42" i="42"/>
  <c r="C43" i="42"/>
  <c r="C44" i="42"/>
  <c r="D32" i="39"/>
  <c r="D33" i="47" s="1"/>
  <c r="D33" i="39"/>
  <c r="D34" i="47" s="1"/>
  <c r="D34" i="39"/>
  <c r="D35" i="47" s="1"/>
  <c r="D31" i="39"/>
  <c r="C34" i="42"/>
  <c r="C35" i="42"/>
  <c r="C36" i="42"/>
  <c r="C33" i="42"/>
  <c r="K43" i="42" l="1"/>
  <c r="C59" i="47"/>
  <c r="Z3" i="39"/>
  <c r="T3" i="39"/>
  <c r="D39" i="47"/>
  <c r="AJ30" i="39"/>
  <c r="AJ51" i="39"/>
  <c r="AJ12" i="39"/>
  <c r="D32" i="47"/>
  <c r="D15" i="39" l="1"/>
  <c r="C19" i="42"/>
  <c r="C18" i="42"/>
  <c r="C46" i="47"/>
  <c r="C45" i="47"/>
  <c r="C44" i="47"/>
  <c r="C43" i="47"/>
  <c r="C42" i="47"/>
  <c r="C37" i="47"/>
  <c r="C35" i="47"/>
  <c r="C34" i="47"/>
  <c r="C33" i="47"/>
  <c r="C32" i="47"/>
  <c r="C30" i="47"/>
  <c r="C18" i="47"/>
  <c r="C17" i="47"/>
  <c r="C15" i="47"/>
  <c r="C14" i="47"/>
  <c r="C13" i="47"/>
  <c r="C12" i="47"/>
  <c r="C11" i="47"/>
  <c r="C37" i="42"/>
  <c r="C31" i="42"/>
  <c r="C20" i="42"/>
  <c r="C17" i="42"/>
  <c r="C13" i="42"/>
  <c r="C15" i="42"/>
  <c r="C16" i="42"/>
  <c r="C12" i="42"/>
  <c r="AJ29" i="39" l="1"/>
  <c r="AJ11" i="39"/>
  <c r="D16" i="39"/>
  <c r="C20" i="39"/>
  <c r="D44" i="39"/>
  <c r="D45" i="39"/>
  <c r="D44" i="47" s="1"/>
  <c r="D46" i="39"/>
  <c r="D47" i="39"/>
  <c r="D46" i="47" s="1"/>
  <c r="E19" i="39"/>
  <c r="C19" i="39" s="1"/>
  <c r="D10" i="39"/>
  <c r="D9" i="39"/>
  <c r="H59" i="13"/>
  <c r="Y661" i="39"/>
  <c r="X658" i="39"/>
  <c r="X657" i="39"/>
  <c r="D14" i="39"/>
  <c r="D12" i="39"/>
  <c r="D11" i="39"/>
  <c r="D20" i="39" s="1"/>
  <c r="Q7" i="39" s="1"/>
  <c r="D8" i="39"/>
  <c r="X7" i="39" s="1"/>
  <c r="AP28" i="39" l="1"/>
  <c r="AP33" i="39"/>
  <c r="AP34" i="39"/>
  <c r="AP39" i="39"/>
  <c r="AP42" i="39"/>
  <c r="AP45" i="39"/>
  <c r="AP46" i="39"/>
  <c r="AP29" i="39"/>
  <c r="AP31" i="39"/>
  <c r="AP35" i="39"/>
  <c r="AP37" i="39"/>
  <c r="AP40" i="39"/>
  <c r="AP41" i="39"/>
  <c r="AP44" i="39"/>
  <c r="AP30" i="39"/>
  <c r="AP32" i="39"/>
  <c r="AP36" i="39"/>
  <c r="AP38" i="39"/>
  <c r="AP43" i="39"/>
  <c r="AP47" i="39"/>
  <c r="AP27" i="39"/>
  <c r="C37" i="39"/>
  <c r="AP51" i="39"/>
  <c r="AP50" i="39"/>
  <c r="AP48" i="39"/>
  <c r="AP49" i="39"/>
  <c r="C61" i="39"/>
  <c r="K46" i="42" s="1"/>
  <c r="AO28" i="39"/>
  <c r="AO29" i="39"/>
  <c r="AO30" i="39"/>
  <c r="AO31" i="39"/>
  <c r="AO32" i="39"/>
  <c r="AO33" i="39"/>
  <c r="AO34" i="39"/>
  <c r="AO35" i="39"/>
  <c r="AO36" i="39"/>
  <c r="AO37" i="39"/>
  <c r="AO38" i="39"/>
  <c r="AO39" i="39"/>
  <c r="AO40" i="39"/>
  <c r="AO41" i="39"/>
  <c r="AO42" i="39"/>
  <c r="AO43" i="39"/>
  <c r="AO44" i="39"/>
  <c r="AO45" i="39"/>
  <c r="AO46" i="39"/>
  <c r="AO47" i="39"/>
  <c r="AO27" i="39"/>
  <c r="C39" i="39"/>
  <c r="C41" i="42" s="1"/>
  <c r="R7" i="39"/>
  <c r="R11" i="39"/>
  <c r="R8" i="39"/>
  <c r="N7" i="39"/>
  <c r="N32" i="39"/>
  <c r="C57" i="39"/>
  <c r="C58" i="47" s="1"/>
  <c r="C50" i="39"/>
  <c r="D45" i="47"/>
  <c r="C60" i="39"/>
  <c r="C53" i="39"/>
  <c r="C53" i="47" s="1"/>
  <c r="D43" i="47"/>
  <c r="C59" i="39"/>
  <c r="C52" i="39"/>
  <c r="C52" i="47" s="1"/>
  <c r="C48" i="39"/>
  <c r="C48" i="47" s="1"/>
  <c r="E16" i="39"/>
  <c r="C62" i="47"/>
  <c r="D12" i="47"/>
  <c r="E27" i="39"/>
  <c r="C27" i="39" s="1"/>
  <c r="C28" i="47" s="1"/>
  <c r="D15" i="47"/>
  <c r="AL11" i="39"/>
  <c r="D13" i="47"/>
  <c r="Q8" i="39"/>
  <c r="Q9" i="39" s="1"/>
  <c r="Q10" i="39" s="1"/>
  <c r="Q11" i="39" s="1"/>
  <c r="Q12" i="39" s="1"/>
  <c r="Q13" i="39" s="1"/>
  <c r="Q14" i="39" s="1"/>
  <c r="Q15" i="39" s="1"/>
  <c r="Q16" i="39" s="1"/>
  <c r="Q17" i="39" s="1"/>
  <c r="Q18" i="39" s="1"/>
  <c r="Q19" i="39" s="1"/>
  <c r="Q20" i="39" s="1"/>
  <c r="Q21" i="39" s="1"/>
  <c r="Q22" i="39" s="1"/>
  <c r="Q23" i="39" s="1"/>
  <c r="Q24" i="39" s="1"/>
  <c r="Q25" i="39" s="1"/>
  <c r="Q26" i="39" s="1"/>
  <c r="Q27" i="39" s="1"/>
  <c r="Q28" i="39" s="1"/>
  <c r="Q29" i="39" s="1"/>
  <c r="Q30" i="39" s="1"/>
  <c r="Q31" i="39" s="1"/>
  <c r="Q32" i="39" s="1"/>
  <c r="Q33" i="39" s="1"/>
  <c r="Q34" i="39" s="1"/>
  <c r="Q35" i="39" s="1"/>
  <c r="Q36" i="39" s="1"/>
  <c r="Q37" i="39" s="1"/>
  <c r="Q38" i="39" s="1"/>
  <c r="Q39" i="39" s="1"/>
  <c r="Q40" i="39" s="1"/>
  <c r="Q41" i="39" s="1"/>
  <c r="Q42" i="39" s="1"/>
  <c r="Q43" i="39" s="1"/>
  <c r="Q44" i="39" s="1"/>
  <c r="Q45" i="39" s="1"/>
  <c r="Q46" i="39" s="1"/>
  <c r="Q47" i="39" s="1"/>
  <c r="Q48" i="39" s="1"/>
  <c r="Q49" i="39" s="1"/>
  <c r="Q50" i="39" s="1"/>
  <c r="Q51" i="39" s="1"/>
  <c r="Q52" i="39" s="1"/>
  <c r="Q53" i="39" s="1"/>
  <c r="Q54" i="39" s="1"/>
  <c r="Q55" i="39" s="1"/>
  <c r="Q56" i="39" s="1"/>
  <c r="Q57" i="39" s="1"/>
  <c r="Q58" i="39" s="1"/>
  <c r="Q59" i="39" s="1"/>
  <c r="Q60" i="39" s="1"/>
  <c r="D14" i="47"/>
  <c r="F14" i="39"/>
  <c r="AJ56" i="39" s="1"/>
  <c r="D17" i="47"/>
  <c r="M12" i="39"/>
  <c r="D11" i="47"/>
  <c r="C51" i="47"/>
  <c r="C23" i="42"/>
  <c r="C21" i="47"/>
  <c r="C20" i="47"/>
  <c r="C54" i="39"/>
  <c r="C54" i="47" s="1"/>
  <c r="C22" i="39"/>
  <c r="C23" i="47" s="1"/>
  <c r="C22" i="42"/>
  <c r="AL12" i="39"/>
  <c r="E28" i="39"/>
  <c r="C28" i="39" s="1"/>
  <c r="E25" i="39"/>
  <c r="C25" i="39" s="1"/>
  <c r="C26" i="47" s="1"/>
  <c r="E21" i="39"/>
  <c r="C21" i="39" s="1"/>
  <c r="C22" i="47" s="1"/>
  <c r="AD8" i="39"/>
  <c r="AE8" i="39" s="1"/>
  <c r="X659" i="39"/>
  <c r="X8" i="39"/>
  <c r="E23" i="39"/>
  <c r="C23" i="39" s="1"/>
  <c r="C24" i="47" s="1"/>
  <c r="E24" i="39"/>
  <c r="C24" i="39" s="1"/>
  <c r="C25" i="47" s="1"/>
  <c r="R37" i="39"/>
  <c r="M58" i="39"/>
  <c r="X53" i="39"/>
  <c r="M16" i="39"/>
  <c r="M24" i="39"/>
  <c r="M45" i="39"/>
  <c r="R24" i="39"/>
  <c r="R10" i="39"/>
  <c r="R42" i="39"/>
  <c r="M28" i="39"/>
  <c r="M8" i="39"/>
  <c r="X10" i="39"/>
  <c r="X13" i="39"/>
  <c r="R39" i="39"/>
  <c r="X42" i="39"/>
  <c r="M18" i="39"/>
  <c r="M22" i="39"/>
  <c r="R30" i="39"/>
  <c r="X44" i="39"/>
  <c r="R51" i="39"/>
  <c r="M7" i="39"/>
  <c r="R58" i="39"/>
  <c r="X37" i="39"/>
  <c r="R50" i="39"/>
  <c r="R15" i="39"/>
  <c r="R18" i="39"/>
  <c r="M32" i="39"/>
  <c r="X35" i="39"/>
  <c r="M47" i="39"/>
  <c r="X50" i="39"/>
  <c r="M30" i="39"/>
  <c r="M51" i="39"/>
  <c r="X15" i="39"/>
  <c r="M14" i="39"/>
  <c r="X19" i="39"/>
  <c r="X28" i="39"/>
  <c r="X38" i="39"/>
  <c r="R60" i="39"/>
  <c r="X57" i="39"/>
  <c r="R55" i="39"/>
  <c r="M53" i="39"/>
  <c r="R48" i="39"/>
  <c r="R46" i="39"/>
  <c r="R44" i="39"/>
  <c r="M37" i="39"/>
  <c r="R35" i="39"/>
  <c r="X31" i="39"/>
  <c r="X23" i="39"/>
  <c r="X21" i="39"/>
  <c r="R13" i="39"/>
  <c r="X11" i="39"/>
  <c r="X59" i="39"/>
  <c r="R57" i="39"/>
  <c r="M55" i="39"/>
  <c r="M48" i="39"/>
  <c r="M46" i="39"/>
  <c r="M44" i="39"/>
  <c r="M35" i="39"/>
  <c r="R31" i="39"/>
  <c r="X29" i="39"/>
  <c r="X25" i="39"/>
  <c r="R23" i="39"/>
  <c r="R21" i="39"/>
  <c r="AD14" i="39"/>
  <c r="M13" i="39"/>
  <c r="X9" i="39"/>
  <c r="X54" i="39"/>
  <c r="R52" i="39"/>
  <c r="M50" i="39"/>
  <c r="M42" i="39"/>
  <c r="M40" i="39"/>
  <c r="R38" i="39"/>
  <c r="X36" i="39"/>
  <c r="M33" i="39"/>
  <c r="M19" i="39"/>
  <c r="M17" i="39"/>
  <c r="X14" i="39"/>
  <c r="R59" i="39"/>
  <c r="M57" i="39"/>
  <c r="X49" i="39"/>
  <c r="X47" i="39"/>
  <c r="X45" i="39"/>
  <c r="M31" i="39"/>
  <c r="R29" i="39"/>
  <c r="X27" i="39"/>
  <c r="R25" i="39"/>
  <c r="M23" i="39"/>
  <c r="M21" i="39"/>
  <c r="X16" i="39"/>
  <c r="M11" i="39"/>
  <c r="R9" i="39"/>
  <c r="X56" i="39"/>
  <c r="R54" i="39"/>
  <c r="M52" i="39"/>
  <c r="X43" i="39"/>
  <c r="X41" i="39"/>
  <c r="M38" i="39"/>
  <c r="R36" i="39"/>
  <c r="X34" i="39"/>
  <c r="X32" i="39"/>
  <c r="X18" i="39"/>
  <c r="R14" i="39"/>
  <c r="X12" i="39"/>
  <c r="M59" i="39"/>
  <c r="X51" i="39"/>
  <c r="R49" i="39"/>
  <c r="R47" i="39"/>
  <c r="R45" i="39"/>
  <c r="X39" i="39"/>
  <c r="M29" i="39"/>
  <c r="R27" i="39"/>
  <c r="M25" i="39"/>
  <c r="X22" i="39"/>
  <c r="X20" i="39"/>
  <c r="R16" i="39"/>
  <c r="AD10" i="39"/>
  <c r="AE10" i="39" s="1"/>
  <c r="M9" i="39"/>
  <c r="X58" i="39"/>
  <c r="R56" i="39"/>
  <c r="M54" i="39"/>
  <c r="R43" i="39"/>
  <c r="R41" i="39"/>
  <c r="M36" i="39"/>
  <c r="R34" i="39"/>
  <c r="R32" i="39"/>
  <c r="X30" i="39"/>
  <c r="X24" i="39"/>
  <c r="R19" i="39"/>
  <c r="M26" i="39"/>
  <c r="R28" i="39"/>
  <c r="R33" i="39"/>
  <c r="R40" i="39"/>
  <c r="X48" i="39"/>
  <c r="X55" i="39"/>
  <c r="M60" i="39"/>
  <c r="R22" i="39"/>
  <c r="M43" i="39"/>
  <c r="M56" i="39"/>
  <c r="R17" i="39"/>
  <c r="R26" i="39"/>
  <c r="X33" i="39"/>
  <c r="X40" i="39"/>
  <c r="M49" i="39"/>
  <c r="AD9" i="39"/>
  <c r="AE9" i="39" s="1"/>
  <c r="M20" i="39"/>
  <c r="X52" i="39"/>
  <c r="X17" i="39"/>
  <c r="X26" i="39"/>
  <c r="M34" i="39"/>
  <c r="M41" i="39"/>
  <c r="X46" i="39"/>
  <c r="X60" i="39"/>
  <c r="M10" i="39"/>
  <c r="R12" i="39"/>
  <c r="M15" i="39"/>
  <c r="R20" i="39"/>
  <c r="M27" i="39"/>
  <c r="M39" i="39"/>
  <c r="R53" i="39"/>
  <c r="AR29" i="39"/>
  <c r="N33" i="39"/>
  <c r="N20" i="39"/>
  <c r="N16" i="39"/>
  <c r="N42" i="39"/>
  <c r="S42" i="39" s="1"/>
  <c r="AR27" i="39"/>
  <c r="N34" i="39"/>
  <c r="AR37" i="39"/>
  <c r="AR38" i="39"/>
  <c r="N43" i="39"/>
  <c r="N12" i="39"/>
  <c r="AR28" i="39"/>
  <c r="AR44" i="39"/>
  <c r="N49" i="39"/>
  <c r="N52" i="39"/>
  <c r="N55" i="39"/>
  <c r="N58" i="39"/>
  <c r="AR43" i="39"/>
  <c r="N23" i="39"/>
  <c r="AR36" i="39"/>
  <c r="N48" i="39"/>
  <c r="AR35" i="39"/>
  <c r="N60" i="39"/>
  <c r="N15" i="39"/>
  <c r="N22" i="39"/>
  <c r="N30" i="39"/>
  <c r="N9" i="39"/>
  <c r="N18" i="39"/>
  <c r="N25" i="39"/>
  <c r="N29" i="39"/>
  <c r="AR32" i="39"/>
  <c r="N39" i="39"/>
  <c r="AR41" i="39"/>
  <c r="N46" i="39"/>
  <c r="AR31" i="39"/>
  <c r="N38" i="39"/>
  <c r="N11" i="39"/>
  <c r="AR26" i="39"/>
  <c r="N41" i="39"/>
  <c r="N10" i="39"/>
  <c r="N47" i="39"/>
  <c r="N54" i="39"/>
  <c r="AR33" i="39"/>
  <c r="N40" i="39"/>
  <c r="N28" i="39"/>
  <c r="AR40" i="39"/>
  <c r="N26" i="39"/>
  <c r="N19" i="39"/>
  <c r="N31" i="39"/>
  <c r="AR34" i="39"/>
  <c r="AR42" i="39"/>
  <c r="N57" i="39"/>
  <c r="N14" i="39"/>
  <c r="N50" i="39"/>
  <c r="N53" i="39"/>
  <c r="N56" i="39"/>
  <c r="N8" i="39"/>
  <c r="N17" i="39"/>
  <c r="AR30" i="39"/>
  <c r="N36" i="39"/>
  <c r="AR39" i="39"/>
  <c r="N51" i="39"/>
  <c r="N21" i="39"/>
  <c r="N37" i="39"/>
  <c r="N45" i="39"/>
  <c r="N59" i="39"/>
  <c r="N13" i="39"/>
  <c r="N24" i="39"/>
  <c r="N27" i="39"/>
  <c r="N35" i="39"/>
  <c r="N44" i="39"/>
  <c r="AR45" i="39"/>
  <c r="F33" i="47" l="1"/>
  <c r="F34" i="47"/>
  <c r="F35" i="47" s="1"/>
  <c r="F36" i="47" s="1"/>
  <c r="F37" i="47" s="1"/>
  <c r="S41" i="39"/>
  <c r="S7" i="39"/>
  <c r="C60" i="47"/>
  <c r="K44" i="42"/>
  <c r="K45" i="42"/>
  <c r="C61" i="47"/>
  <c r="C39" i="47"/>
  <c r="C40" i="42"/>
  <c r="Z4" i="39"/>
  <c r="F40" i="42"/>
  <c r="S46" i="39"/>
  <c r="S30" i="39"/>
  <c r="K42" i="42"/>
  <c r="AJ39" i="39"/>
  <c r="AJ40" i="39"/>
  <c r="AL16" i="39"/>
  <c r="AJ16" i="39"/>
  <c r="AJ22" i="39"/>
  <c r="AJ33" i="39"/>
  <c r="AJ34" i="39"/>
  <c r="AJ61" i="39"/>
  <c r="D60" i="39"/>
  <c r="AL21" i="39"/>
  <c r="D27" i="39"/>
  <c r="D28" i="47" s="1"/>
  <c r="AJ21" i="39"/>
  <c r="D23" i="42"/>
  <c r="D21" i="47"/>
  <c r="AJ17" i="39"/>
  <c r="AL22" i="39"/>
  <c r="AL17" i="39"/>
  <c r="F42" i="42"/>
  <c r="C50" i="47"/>
  <c r="C30" i="42"/>
  <c r="C26" i="42"/>
  <c r="C24" i="42"/>
  <c r="C28" i="42"/>
  <c r="C25" i="42"/>
  <c r="C27" i="42"/>
  <c r="F43" i="42"/>
  <c r="F45" i="42"/>
  <c r="F44" i="42"/>
  <c r="F46" i="42"/>
  <c r="C26" i="39"/>
  <c r="C27" i="47" s="1"/>
  <c r="D24" i="39"/>
  <c r="D28" i="39"/>
  <c r="D25" i="39"/>
  <c r="AD15" i="39" a="1"/>
  <c r="D21" i="39"/>
  <c r="D23" i="39"/>
  <c r="D24" i="47" s="1"/>
  <c r="S16" i="39"/>
  <c r="S33" i="39"/>
  <c r="V7" i="39" a="1"/>
  <c r="V58" i="39" s="1"/>
  <c r="P7" i="39" a="1"/>
  <c r="P31" i="39" s="1"/>
  <c r="S20" i="39"/>
  <c r="S34" i="39"/>
  <c r="S59" i="39"/>
  <c r="S45" i="39"/>
  <c r="S58" i="39"/>
  <c r="S21" i="39"/>
  <c r="S52" i="39"/>
  <c r="S37" i="39"/>
  <c r="S51" i="39"/>
  <c r="S57" i="39"/>
  <c r="S54" i="39"/>
  <c r="S39" i="39"/>
  <c r="S49" i="39"/>
  <c r="S47" i="39"/>
  <c r="S48" i="39"/>
  <c r="S15" i="39"/>
  <c r="S60" i="39"/>
  <c r="S40" i="39"/>
  <c r="S10" i="39"/>
  <c r="S29" i="39"/>
  <c r="S44" i="39"/>
  <c r="S36" i="39"/>
  <c r="S31" i="39"/>
  <c r="S25" i="39"/>
  <c r="S12" i="39"/>
  <c r="S14" i="39"/>
  <c r="S35" i="39"/>
  <c r="S19" i="39"/>
  <c r="S32" i="39"/>
  <c r="S18" i="39"/>
  <c r="S23" i="39"/>
  <c r="S28" i="39"/>
  <c r="S27" i="39"/>
  <c r="S17" i="39"/>
  <c r="S9" i="39"/>
  <c r="S50" i="39"/>
  <c r="S24" i="39"/>
  <c r="S8" i="39"/>
  <c r="S26" i="39"/>
  <c r="S11" i="39"/>
  <c r="S43" i="39"/>
  <c r="S53" i="39"/>
  <c r="S55" i="39"/>
  <c r="S13" i="39"/>
  <c r="S56" i="39"/>
  <c r="S38" i="39"/>
  <c r="S22" i="39"/>
  <c r="O33" i="47" l="1"/>
  <c r="O34" i="47"/>
  <c r="O35" i="47"/>
  <c r="O36" i="47"/>
  <c r="O37" i="47"/>
  <c r="M33" i="47"/>
  <c r="M34" i="47" s="1"/>
  <c r="M35" i="47" s="1"/>
  <c r="M36" i="47" s="1"/>
  <c r="M37" i="47" s="1"/>
  <c r="M38" i="47" s="1"/>
  <c r="T4" i="39"/>
  <c r="AE19" i="39"/>
  <c r="AE16" i="39"/>
  <c r="AE24" i="39"/>
  <c r="AE21" i="39"/>
  <c r="AE20" i="39"/>
  <c r="AE18" i="39"/>
  <c r="AE17" i="39"/>
  <c r="AE22" i="39"/>
  <c r="AE23" i="39"/>
  <c r="AE34" i="39"/>
  <c r="AE29" i="39"/>
  <c r="AE31" i="39"/>
  <c r="AE25" i="39"/>
  <c r="AE33" i="39"/>
  <c r="AE27" i="39"/>
  <c r="AE28" i="39"/>
  <c r="AE30" i="39"/>
  <c r="AE26" i="39"/>
  <c r="AE32" i="39"/>
  <c r="R3" i="39"/>
  <c r="AK51" i="39"/>
  <c r="AK61" i="39" s="1"/>
  <c r="D59" i="39"/>
  <c r="L44" i="42" s="1"/>
  <c r="AD46" i="39"/>
  <c r="AL39" i="39"/>
  <c r="L45" i="42"/>
  <c r="D61" i="47"/>
  <c r="AL33" i="39"/>
  <c r="D58" i="39"/>
  <c r="D30" i="42"/>
  <c r="D22" i="47"/>
  <c r="AK11" i="39"/>
  <c r="D26" i="47"/>
  <c r="AK12" i="39"/>
  <c r="D25" i="47"/>
  <c r="AK30" i="39"/>
  <c r="AK40" i="39" s="1"/>
  <c r="F38" i="47"/>
  <c r="O38" i="47" s="1"/>
  <c r="C29" i="42"/>
  <c r="D26" i="42"/>
  <c r="D24" i="42"/>
  <c r="D28" i="42"/>
  <c r="D27" i="42"/>
  <c r="W7" i="39"/>
  <c r="W8" i="39" s="1"/>
  <c r="W9" i="39" s="1"/>
  <c r="W10" i="39" s="1"/>
  <c r="W11" i="39" s="1"/>
  <c r="W12" i="39" s="1"/>
  <c r="W13" i="39" s="1"/>
  <c r="W14" i="39" s="1"/>
  <c r="W15" i="39" s="1"/>
  <c r="W16" i="39" s="1"/>
  <c r="W17" i="39" s="1"/>
  <c r="W18" i="39" s="1"/>
  <c r="W19" i="39" s="1"/>
  <c r="W20" i="39" s="1"/>
  <c r="W21" i="39" s="1"/>
  <c r="W22" i="39" s="1"/>
  <c r="W23" i="39" s="1"/>
  <c r="W24" i="39" s="1"/>
  <c r="W25" i="39" s="1"/>
  <c r="W26" i="39" s="1"/>
  <c r="W27" i="39" s="1"/>
  <c r="W28" i="39" s="1"/>
  <c r="W29" i="39" s="1"/>
  <c r="W30" i="39" s="1"/>
  <c r="W31" i="39" s="1"/>
  <c r="W32" i="39" s="1"/>
  <c r="W33" i="39" s="1"/>
  <c r="W34" i="39" s="1"/>
  <c r="W35" i="39" s="1"/>
  <c r="W36" i="39" s="1"/>
  <c r="W37" i="39" s="1"/>
  <c r="W38" i="39" s="1"/>
  <c r="W39" i="39" s="1"/>
  <c r="W40" i="39" s="1"/>
  <c r="W41" i="39" s="1"/>
  <c r="W42" i="39" s="1"/>
  <c r="W43" i="39" s="1"/>
  <c r="W44" i="39" s="1"/>
  <c r="W45" i="39" s="1"/>
  <c r="W46" i="39" s="1"/>
  <c r="W47" i="39" s="1"/>
  <c r="W48" i="39" s="1"/>
  <c r="W49" i="39" s="1"/>
  <c r="W50" i="39" s="1"/>
  <c r="W51" i="39" s="1"/>
  <c r="W52" i="39" s="1"/>
  <c r="W53" i="39" s="1"/>
  <c r="W54" i="39" s="1"/>
  <c r="W55" i="39" s="1"/>
  <c r="W56" i="39" s="1"/>
  <c r="W57" i="39" s="1"/>
  <c r="W58" i="39" s="1"/>
  <c r="W59" i="39" s="1"/>
  <c r="W60" i="39" s="1"/>
  <c r="Y60" i="39" s="1"/>
  <c r="AD15" i="39"/>
  <c r="AE15" i="39" s="1"/>
  <c r="V40" i="39"/>
  <c r="V38" i="39"/>
  <c r="V53" i="39"/>
  <c r="V39" i="39"/>
  <c r="V33" i="39"/>
  <c r="V14" i="39"/>
  <c r="V23" i="39"/>
  <c r="V7" i="39"/>
  <c r="V42" i="39"/>
  <c r="V35" i="39"/>
  <c r="V34" i="39"/>
  <c r="V56" i="39"/>
  <c r="V25" i="39"/>
  <c r="V54" i="39"/>
  <c r="V52" i="39"/>
  <c r="V8" i="39"/>
  <c r="V13" i="39"/>
  <c r="P42" i="39"/>
  <c r="P17" i="39"/>
  <c r="P37" i="39"/>
  <c r="V18" i="39"/>
  <c r="V16" i="39"/>
  <c r="P46" i="39"/>
  <c r="V17" i="39"/>
  <c r="V11" i="39"/>
  <c r="P36" i="39"/>
  <c r="V48" i="39"/>
  <c r="V45" i="39"/>
  <c r="P11" i="39"/>
  <c r="P35" i="39"/>
  <c r="P33" i="39"/>
  <c r="P38" i="39"/>
  <c r="P51" i="39"/>
  <c r="P60" i="39"/>
  <c r="P58" i="39"/>
  <c r="P19" i="39"/>
  <c r="P16" i="39"/>
  <c r="P40" i="39"/>
  <c r="V9" i="39"/>
  <c r="V28" i="39"/>
  <c r="P54" i="39"/>
  <c r="V37" i="39"/>
  <c r="V59" i="39"/>
  <c r="P59" i="39"/>
  <c r="P23" i="39"/>
  <c r="V36" i="39"/>
  <c r="V51" i="39"/>
  <c r="P30" i="39"/>
  <c r="P53" i="39"/>
  <c r="P57" i="39"/>
  <c r="P34" i="39"/>
  <c r="V31" i="39"/>
  <c r="V21" i="39"/>
  <c r="V46" i="39"/>
  <c r="P48" i="39"/>
  <c r="P45" i="39"/>
  <c r="V10" i="39"/>
  <c r="V44" i="39"/>
  <c r="V29" i="39"/>
  <c r="P25" i="39"/>
  <c r="P15" i="39"/>
  <c r="P47" i="39"/>
  <c r="P52" i="39"/>
  <c r="P50" i="39"/>
  <c r="P12" i="39"/>
  <c r="P22" i="39"/>
  <c r="P55" i="39"/>
  <c r="P24" i="39"/>
  <c r="V15" i="39"/>
  <c r="V49" i="39"/>
  <c r="V41" i="39"/>
  <c r="V32" i="39"/>
  <c r="V27" i="39"/>
  <c r="P39" i="39"/>
  <c r="P44" i="39"/>
  <c r="P14" i="39"/>
  <c r="P20" i="39"/>
  <c r="V19" i="39"/>
  <c r="V30" i="39"/>
  <c r="V12" i="39"/>
  <c r="V26" i="39"/>
  <c r="P41" i="39"/>
  <c r="P43" i="39"/>
  <c r="P49" i="39"/>
  <c r="P10" i="39"/>
  <c r="V22" i="39"/>
  <c r="V60" i="39"/>
  <c r="V50" i="39"/>
  <c r="V43" i="39"/>
  <c r="V55" i="39"/>
  <c r="P13" i="39"/>
  <c r="P8" i="39"/>
  <c r="P21" i="39"/>
  <c r="P18" i="39"/>
  <c r="V20" i="39"/>
  <c r="V57" i="39"/>
  <c r="V47" i="39"/>
  <c r="V24" i="39"/>
  <c r="P32" i="39"/>
  <c r="P27" i="39"/>
  <c r="P29" i="39"/>
  <c r="P9" i="39"/>
  <c r="P26" i="39"/>
  <c r="P28" i="39"/>
  <c r="P7" i="39"/>
  <c r="P56" i="39"/>
  <c r="S657" i="39"/>
  <c r="S658" i="39" s="1"/>
  <c r="Q33" i="47" l="1"/>
  <c r="Q34" i="47" s="1"/>
  <c r="P33" i="47"/>
  <c r="P34" i="47" s="1"/>
  <c r="P35" i="47" s="1"/>
  <c r="P36" i="47" s="1"/>
  <c r="T5" i="39"/>
  <c r="D57" i="39" s="1"/>
  <c r="R4" i="39"/>
  <c r="AK56" i="39"/>
  <c r="AL56" i="39" s="1"/>
  <c r="D53" i="39" s="1"/>
  <c r="D60" i="47"/>
  <c r="L43" i="42"/>
  <c r="L46" i="42" s="1"/>
  <c r="D59" i="47"/>
  <c r="AK17" i="39"/>
  <c r="AM17" i="39" s="1"/>
  <c r="AK22" i="39"/>
  <c r="AM22" i="39" s="1"/>
  <c r="AK16" i="39"/>
  <c r="AM16" i="39" s="1"/>
  <c r="AK21" i="39"/>
  <c r="AM21" i="39" s="1"/>
  <c r="M39" i="47"/>
  <c r="F39" i="47"/>
  <c r="O39" i="47" s="1"/>
  <c r="Y36" i="39"/>
  <c r="Y20" i="39"/>
  <c r="Y23" i="39"/>
  <c r="Y9" i="39"/>
  <c r="Y10" i="39"/>
  <c r="Y35" i="39"/>
  <c r="Y49" i="39"/>
  <c r="Y58" i="39"/>
  <c r="Y16" i="39"/>
  <c r="Y19" i="39"/>
  <c r="Y34" i="39"/>
  <c r="Y41" i="39"/>
  <c r="Y56" i="39"/>
  <c r="Y59" i="39"/>
  <c r="Y46" i="39"/>
  <c r="Y26" i="39"/>
  <c r="Y22" i="39"/>
  <c r="Y40" i="39"/>
  <c r="Y38" i="39"/>
  <c r="Y14" i="39"/>
  <c r="Y52" i="39"/>
  <c r="Y27" i="39"/>
  <c r="Y17" i="39"/>
  <c r="Y28" i="39"/>
  <c r="Y42" i="39"/>
  <c r="Y55" i="39"/>
  <c r="Y13" i="39"/>
  <c r="Y45" i="39"/>
  <c r="Y51" i="39"/>
  <c r="Y29" i="39"/>
  <c r="Y18" i="39"/>
  <c r="Y48" i="39"/>
  <c r="Y7" i="39"/>
  <c r="Y37" i="39"/>
  <c r="Y54" i="39"/>
  <c r="Y44" i="39"/>
  <c r="Y30" i="39"/>
  <c r="Y24" i="39"/>
  <c r="Y15" i="39"/>
  <c r="Y53" i="39"/>
  <c r="Y21" i="39"/>
  <c r="Y39" i="39"/>
  <c r="Y47" i="39"/>
  <c r="Y12" i="39"/>
  <c r="Y57" i="39"/>
  <c r="Y32" i="39"/>
  <c r="Y25" i="39"/>
  <c r="Y8" i="39"/>
  <c r="Y43" i="39"/>
  <c r="Y50" i="39"/>
  <c r="Y33" i="39"/>
  <c r="Y11" i="39"/>
  <c r="Y31" i="39"/>
  <c r="AL61" i="39"/>
  <c r="AK34" i="39"/>
  <c r="AL34" i="39" s="1"/>
  <c r="D51" i="39" s="1"/>
  <c r="D51" i="47" s="1"/>
  <c r="AL40" i="39"/>
  <c r="H34" i="47" s="1"/>
  <c r="H33" i="47" l="1"/>
  <c r="H37" i="47"/>
  <c r="H36" i="47"/>
  <c r="H35" i="47"/>
  <c r="H38" i="47"/>
  <c r="H39" i="47"/>
  <c r="Q35" i="47"/>
  <c r="Q36" i="47" s="1"/>
  <c r="Q37" i="47" s="1"/>
  <c r="I33" i="47"/>
  <c r="I34" i="47" s="1"/>
  <c r="J33" i="47"/>
  <c r="P37" i="47"/>
  <c r="X3" i="39"/>
  <c r="X4" i="39" s="1"/>
  <c r="D50" i="39" s="1"/>
  <c r="G42" i="42" s="1"/>
  <c r="D58" i="47"/>
  <c r="N32" i="47" s="1"/>
  <c r="L42" i="42"/>
  <c r="D61" i="39"/>
  <c r="D52" i="39"/>
  <c r="D52" i="47" s="1"/>
  <c r="G43" i="42"/>
  <c r="F40" i="47"/>
  <c r="M40" i="47"/>
  <c r="O40" i="47" l="1"/>
  <c r="H40" i="47"/>
  <c r="Q38" i="47"/>
  <c r="Q39" i="47" s="1"/>
  <c r="J34" i="47"/>
  <c r="J35" i="47" s="1"/>
  <c r="P38" i="47"/>
  <c r="I35" i="47"/>
  <c r="N39" i="47"/>
  <c r="D62" i="47"/>
  <c r="D54" i="39"/>
  <c r="G44" i="42"/>
  <c r="D50" i="47"/>
  <c r="G33" i="47" s="1"/>
  <c r="N33" i="47"/>
  <c r="N34" i="47"/>
  <c r="N35" i="47"/>
  <c r="N36" i="47"/>
  <c r="N37" i="47"/>
  <c r="N38" i="47"/>
  <c r="F41" i="47"/>
  <c r="D53" i="47"/>
  <c r="M41" i="47"/>
  <c r="N40" i="47"/>
  <c r="G45" i="42"/>
  <c r="G32" i="47" l="1"/>
  <c r="O41" i="47"/>
  <c r="H41" i="47"/>
  <c r="J36" i="47"/>
  <c r="Q40" i="47"/>
  <c r="Q41" i="47" s="1"/>
  <c r="I36" i="47"/>
  <c r="P39" i="47"/>
  <c r="G46" i="42"/>
  <c r="G40" i="47"/>
  <c r="G34" i="47"/>
  <c r="G35" i="47"/>
  <c r="G36" i="47"/>
  <c r="G37" i="47"/>
  <c r="G38" i="47"/>
  <c r="G39" i="47"/>
  <c r="M42" i="47"/>
  <c r="N41" i="47"/>
  <c r="D54" i="47"/>
  <c r="G41" i="47"/>
  <c r="F42" i="47"/>
  <c r="M5" i="47"/>
  <c r="Q42" i="47" l="1"/>
  <c r="O42" i="47"/>
  <c r="H42" i="47"/>
  <c r="J37" i="47"/>
  <c r="I37" i="47"/>
  <c r="P40" i="47"/>
  <c r="F5" i="47"/>
  <c r="F43" i="47"/>
  <c r="G42" i="47"/>
  <c r="N42" i="47"/>
  <c r="M43" i="47"/>
  <c r="Q43" i="47" l="1"/>
  <c r="O43" i="47"/>
  <c r="H43" i="47"/>
  <c r="J38" i="47"/>
  <c r="I38" i="47"/>
  <c r="P41" i="47"/>
  <c r="M44" i="47"/>
  <c r="N43" i="47"/>
  <c r="F44" i="47"/>
  <c r="G43" i="47"/>
  <c r="Q44" i="47" l="1"/>
  <c r="O44" i="47"/>
  <c r="H44" i="47"/>
  <c r="P42" i="47"/>
  <c r="P43" i="47" s="1"/>
  <c r="P44" i="47" s="1"/>
  <c r="P45" i="47" s="1"/>
  <c r="I39" i="47"/>
  <c r="J39" i="47"/>
  <c r="J40" i="47" s="1"/>
  <c r="M45" i="47"/>
  <c r="N44" i="47"/>
  <c r="F45" i="47"/>
  <c r="G44" i="47"/>
  <c r="Q45" i="47" l="1"/>
  <c r="P46" i="47"/>
  <c r="O45" i="47"/>
  <c r="H45" i="47"/>
  <c r="I40" i="47"/>
  <c r="J41" i="47"/>
  <c r="F46" i="47"/>
  <c r="G45" i="47"/>
  <c r="M46" i="47"/>
  <c r="N45" i="47"/>
  <c r="Q46" i="47" l="1"/>
  <c r="O46" i="47"/>
  <c r="H46" i="47"/>
  <c r="P47" i="47"/>
  <c r="J42" i="47"/>
  <c r="I41" i="47"/>
  <c r="M47" i="47"/>
  <c r="N46" i="47"/>
  <c r="G46" i="47"/>
  <c r="F47" i="47"/>
  <c r="Q47" i="47" l="1"/>
  <c r="O47" i="47"/>
  <c r="H47" i="47"/>
  <c r="P48" i="47"/>
  <c r="I42" i="47"/>
  <c r="J43" i="47"/>
  <c r="J44" i="47" s="1"/>
  <c r="J45" i="47" s="1"/>
  <c r="J46" i="47" s="1"/>
  <c r="F48" i="47"/>
  <c r="G47" i="47"/>
  <c r="M48" i="47"/>
  <c r="N47" i="47"/>
  <c r="Q48" i="47" l="1"/>
  <c r="O48" i="47"/>
  <c r="H48" i="47"/>
  <c r="P49" i="47"/>
  <c r="J47" i="47"/>
  <c r="J48" i="47" s="1"/>
  <c r="I43" i="47"/>
  <c r="M49" i="47"/>
  <c r="N48" i="47"/>
  <c r="F49" i="47"/>
  <c r="G48" i="47"/>
  <c r="O49" i="47" l="1"/>
  <c r="H49" i="47"/>
  <c r="P50" i="47"/>
  <c r="J49" i="47"/>
  <c r="Q49" i="47"/>
  <c r="I44" i="47"/>
  <c r="F50" i="47"/>
  <c r="G49" i="47"/>
  <c r="M50" i="47"/>
  <c r="N49" i="47"/>
  <c r="O50" i="47" l="1"/>
  <c r="H50" i="47"/>
  <c r="J50" i="47"/>
  <c r="P51" i="47"/>
  <c r="Q50" i="47"/>
  <c r="I45" i="47"/>
  <c r="I46" i="47" s="1"/>
  <c r="I47" i="47" s="1"/>
  <c r="I48" i="47" s="1"/>
  <c r="I49" i="47" s="1"/>
  <c r="I50" i="47" s="1"/>
  <c r="M51" i="47"/>
  <c r="N50" i="47"/>
  <c r="F51" i="47"/>
  <c r="G50" i="47"/>
  <c r="I51" i="47" l="1"/>
  <c r="O51" i="47"/>
  <c r="H51" i="47"/>
  <c r="J51" i="47"/>
  <c r="P52" i="47"/>
  <c r="Q51" i="47"/>
  <c r="F52" i="47"/>
  <c r="G51" i="47"/>
  <c r="M52" i="47"/>
  <c r="N51" i="47"/>
  <c r="O52" i="47" l="1"/>
  <c r="H52" i="47"/>
  <c r="J52" i="47"/>
  <c r="P53" i="47"/>
  <c r="I52" i="47"/>
  <c r="Q52" i="47"/>
  <c r="N52" i="47"/>
  <c r="M53" i="47"/>
  <c r="F53" i="47"/>
  <c r="G52" i="47"/>
  <c r="J53" i="47" l="1"/>
  <c r="O53" i="47"/>
  <c r="H53" i="47"/>
  <c r="P54" i="47"/>
  <c r="I53" i="47"/>
  <c r="Q53" i="47"/>
  <c r="F54" i="47"/>
  <c r="G53" i="47"/>
  <c r="M54" i="47"/>
  <c r="N53" i="47"/>
  <c r="J54" i="47" l="1"/>
  <c r="O54" i="47"/>
  <c r="H54" i="47"/>
  <c r="P55" i="47"/>
  <c r="Q54" i="47"/>
  <c r="I54" i="47"/>
  <c r="M55" i="47"/>
  <c r="N54" i="47"/>
  <c r="G54" i="47"/>
  <c r="F55" i="47"/>
  <c r="J55" i="47" l="1"/>
  <c r="O55" i="47"/>
  <c r="H55" i="47"/>
  <c r="Q55" i="47"/>
  <c r="P56" i="47"/>
  <c r="I55" i="47"/>
  <c r="F56" i="47"/>
  <c r="G55" i="47"/>
  <c r="N55" i="47"/>
  <c r="M56" i="47"/>
  <c r="J56" i="47" l="1"/>
  <c r="O56" i="47"/>
  <c r="H56" i="47"/>
  <c r="Q56" i="47"/>
  <c r="P57" i="47"/>
  <c r="I56" i="47"/>
  <c r="M57" i="47"/>
  <c r="N56" i="47"/>
  <c r="F57" i="47"/>
  <c r="G56" i="47"/>
  <c r="O57" i="47" l="1"/>
  <c r="H57" i="47"/>
  <c r="I57" i="47"/>
  <c r="P58" i="47"/>
  <c r="J57" i="47"/>
  <c r="Q57" i="47"/>
  <c r="G57" i="47"/>
  <c r="F58" i="47"/>
  <c r="M58" i="47"/>
  <c r="N57" i="47"/>
  <c r="O58" i="47" l="1"/>
  <c r="H58" i="47"/>
  <c r="I58" i="47"/>
  <c r="P59" i="47"/>
  <c r="J58" i="47"/>
  <c r="Q58" i="47"/>
  <c r="F59" i="47"/>
  <c r="G58" i="47"/>
  <c r="M59" i="47"/>
  <c r="N58" i="47"/>
  <c r="O59" i="47" l="1"/>
  <c r="H59" i="47"/>
  <c r="P60" i="47"/>
  <c r="I59" i="47"/>
  <c r="J59" i="47"/>
  <c r="Q59" i="47"/>
  <c r="M60" i="47"/>
  <c r="N59" i="47"/>
  <c r="G59" i="47"/>
  <c r="F60" i="47"/>
  <c r="O60" i="47" l="1"/>
  <c r="H60" i="47"/>
  <c r="P61" i="47"/>
  <c r="I60" i="47"/>
  <c r="Q60" i="47"/>
  <c r="J60" i="47"/>
  <c r="F61" i="47"/>
  <c r="G60" i="47"/>
  <c r="N60" i="47"/>
  <c r="M61" i="47"/>
  <c r="J61" i="47" l="1"/>
  <c r="P62" i="47"/>
  <c r="P32" i="47" s="1"/>
  <c r="I61" i="47"/>
  <c r="O61" i="47"/>
  <c r="H61" i="47"/>
  <c r="Q61" i="47"/>
  <c r="M62" i="47"/>
  <c r="N61" i="47"/>
  <c r="F62" i="47"/>
  <c r="G61" i="47"/>
  <c r="J62" i="47" l="1"/>
  <c r="J32" i="47" s="1"/>
  <c r="O62" i="47"/>
  <c r="O32" i="47" s="1"/>
  <c r="H62" i="47"/>
  <c r="I62" i="47"/>
  <c r="Q62" i="47"/>
  <c r="Q32" i="47" s="1"/>
  <c r="G62" i="47"/>
  <c r="N62" i="47"/>
  <c r="H32" i="47" l="1"/>
  <c r="I32" i="4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tc={6D6B0B3E-3EFD-4F5B-8151-846EF05A613A}</author>
  </authors>
  <commentList>
    <comment ref="C17" authorId="0" shapeId="0" xr:uid="{6D6B0B3E-3EFD-4F5B-8151-846EF05A613A}">
      <text>
        <t>[Threaded comment]
Your version of Excel allows you to read this threaded comment; however, any edits to it will get removed if the file is opened in a newer version of Excel. Learn more: https://go.microsoft.com/fwlink/?linkid=870924
Comment:
    Má sleppa þessu og hafa bara í útskýringum 3,5%</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<sst xmlns="http://schemas.openxmlformats.org/spreadsheetml/2006/main" count="179" uniqueCount="109">
  <si>
    <t>Útgreiðslureiknivél fyrir sjóðfélaga LTFÍ</t>
  </si>
  <si>
    <t xml:space="preserve">Þessi reiknivél er ætluð sjóðfélögum LTFÍ til að veita betri yfirsýn yfir hvernig útgreiðsluáætlun þeirra kann að breytast við sameiningu sjóðsins við Frjálsa lífeyrissjóðinn. </t>
  </si>
  <si>
    <t>Vinsamlegast fylltu út alla bláu reitina til að fá niðurstöður úr reiknivélinni.</t>
  </si>
  <si>
    <t>Mínar forsendur</t>
  </si>
  <si>
    <t>Leið 2</t>
  </si>
  <si>
    <t>Má sleppa þessu?</t>
  </si>
  <si>
    <t>Aldur</t>
  </si>
  <si>
    <t>réttindi</t>
  </si>
  <si>
    <t>upps réttind</t>
  </si>
  <si>
    <t xml:space="preserve">réttindi </t>
  </si>
  <si>
    <t>upps réttindi</t>
  </si>
  <si>
    <t xml:space="preserve">Leiðrétt </t>
  </si>
  <si>
    <t>Tannl 70 ára</t>
  </si>
  <si>
    <t>leiðrétt</t>
  </si>
  <si>
    <t>Forsendur mínar</t>
  </si>
  <si>
    <t xml:space="preserve">Aldur </t>
  </si>
  <si>
    <t>Ár</t>
  </si>
  <si>
    <t>Er að borga í sjóðinn 1/0</t>
  </si>
  <si>
    <t>Iðgjald</t>
  </si>
  <si>
    <t>Réttindi úr töflu</t>
  </si>
  <si>
    <t>Réttindi á mán</t>
  </si>
  <si>
    <t>Monthly decrease factors erfanlega</t>
  </si>
  <si>
    <t>factors using</t>
  </si>
  <si>
    <t>Fæðingarár</t>
  </si>
  <si>
    <t>Frjáls séreign</t>
  </si>
  <si>
    <t>Aldur í dag</t>
  </si>
  <si>
    <t>Áætlaður starfslokaaldur</t>
  </si>
  <si>
    <t>Leið</t>
  </si>
  <si>
    <t>Núverandi réttindi</t>
  </si>
  <si>
    <t>Réttindi við min(starfslok,70)</t>
  </si>
  <si>
    <t>Réttindi frá 70 to til starfslok</t>
  </si>
  <si>
    <t>Núverandi atvinnutekjur á mánuði, f. skatt</t>
  </si>
  <si>
    <t>Frjálsa</t>
  </si>
  <si>
    <t>Viðbótariðgjald 2% eða 4%</t>
  </si>
  <si>
    <t>Erfanlega</t>
  </si>
  <si>
    <t xml:space="preserve">Viðkomandi í SSF ? </t>
  </si>
  <si>
    <t>Nei er ekki í SSF</t>
  </si>
  <si>
    <t>Mánaðarvextir</t>
  </si>
  <si>
    <t>Monthly increase/decrease frjálsa</t>
  </si>
  <si>
    <t>Áætluð ávöxtun lífeyrissparnaðar</t>
  </si>
  <si>
    <t>Framtíðarvirða allar tölur til starfsloka</t>
  </si>
  <si>
    <t>Greiðsluleið samtryggingar hjá LTFÍ</t>
  </si>
  <si>
    <t>Réttindi við Starfslok</t>
  </si>
  <si>
    <t>Total</t>
  </si>
  <si>
    <t>Greiðsluleið samtryggingar hjá Frjálsa - eftir sameiningu</t>
  </si>
  <si>
    <t>Framtíðariðgjöld mín</t>
  </si>
  <si>
    <t>&lt;- Heildar iðgjald í skyldusparnað</t>
  </si>
  <si>
    <t>Framtíðarvirða allar tölur til lífeyristöku</t>
  </si>
  <si>
    <t xml:space="preserve">Leið </t>
  </si>
  <si>
    <t>Réttindi við lífeyristöku</t>
  </si>
  <si>
    <t xml:space="preserve">Fyrir forsíðuna, ekki fokka í þessu :)      -       Data validation stuff </t>
  </si>
  <si>
    <t>Bundin séreign</t>
  </si>
  <si>
    <t>Leið 1</t>
  </si>
  <si>
    <t>Já - 5,5%</t>
  </si>
  <si>
    <t>Já - 7%</t>
  </si>
  <si>
    <t>Leið 3</t>
  </si>
  <si>
    <t>Núverandi staða mín</t>
  </si>
  <si>
    <t>Leið 4</t>
  </si>
  <si>
    <t>Samtrygging úr LTFÍ - mánaðarleg réttindi</t>
  </si>
  <si>
    <t>Bundin séreign - erfanleg heildareign</t>
  </si>
  <si>
    <t xml:space="preserve">Frjáls séreign - erfanleg heildareign </t>
  </si>
  <si>
    <t>F</t>
  </si>
  <si>
    <t>Viðbótarsparnaður - erfanleg heildareign</t>
  </si>
  <si>
    <t>E</t>
  </si>
  <si>
    <t>Útgreiðslutími og aldur</t>
  </si>
  <si>
    <t>X</t>
  </si>
  <si>
    <t>Útgreiðslur tannlækna hefjast skv. Samþykktum</t>
  </si>
  <si>
    <t>Formúlur notaðar í aðalskjali</t>
  </si>
  <si>
    <t>Ævilangt</t>
  </si>
  <si>
    <t>Til að framreikna upphæð séreignar</t>
  </si>
  <si>
    <t>Útgreiðslur bundinnar séreignar hefjast</t>
  </si>
  <si>
    <t>FV = P*((1+r)^n-1)/r</t>
  </si>
  <si>
    <t xml:space="preserve">     Útgreiðslutími bundinnar séreignar</t>
  </si>
  <si>
    <t>Til að dreifa upphæð séreignar í greiðslur</t>
  </si>
  <si>
    <t>PMT = (P*r*(1+r)^n)/((1+r)^n-1)</t>
  </si>
  <si>
    <t>Útgreiðslur frjálsrar séreignar hefjast</t>
  </si>
  <si>
    <t xml:space="preserve">     Útgreiðslutími frjálsrar séreignar</t>
  </si>
  <si>
    <t>Útgreiðslur viðbótarsparnaðar hefjast</t>
  </si>
  <si>
    <t xml:space="preserve">     Útgreiðslutími viðbótarsparnaðar</t>
  </si>
  <si>
    <t>Viðbótarsparnaður</t>
  </si>
  <si>
    <t>ársréttindi</t>
  </si>
  <si>
    <t>lækkun</t>
  </si>
  <si>
    <t>mánaðarréttindi</t>
  </si>
  <si>
    <t>Aldur/Fæðingarár</t>
  </si>
  <si>
    <t>Fæðingarár/aldur</t>
  </si>
  <si>
    <t>60-</t>
  </si>
  <si>
    <t>61-</t>
  </si>
  <si>
    <t>62-</t>
  </si>
  <si>
    <t>63-</t>
  </si>
  <si>
    <t>64-</t>
  </si>
  <si>
    <t>65-</t>
  </si>
  <si>
    <t>66-</t>
  </si>
  <si>
    <t>67-</t>
  </si>
  <si>
    <t>68-</t>
  </si>
  <si>
    <t>69-</t>
  </si>
  <si>
    <t>70-</t>
  </si>
  <si>
    <t>71-</t>
  </si>
  <si>
    <t>72-</t>
  </si>
  <si>
    <t>73-</t>
  </si>
  <si>
    <t>74-</t>
  </si>
  <si>
    <t>75-</t>
  </si>
  <si>
    <t>76-</t>
  </si>
  <si>
    <t>77-</t>
  </si>
  <si>
    <t>78-</t>
  </si>
  <si>
    <t>79-</t>
  </si>
  <si>
    <t>1952 og fyrr</t>
  </si>
  <si>
    <t>Miðað er við 3,5% árlega ávöxtun</t>
  </si>
  <si>
    <t xml:space="preserve">Hjá LTFÍ miðast útreikningur réttinda í samtryggingu í leið I við 70 ára aldur, í leið II við 75 ára aldur, í leið III við 80 ára aldur og í leið IV við 85 ára aldur. </t>
  </si>
  <si>
    <t>Athugið að útreikningur réttinda í samtryggingu í Frjálsa lífeyrissjóðnum miðast við 70 ára aldur í Frjálsu leiðinni og 85 ára aldur í Erfanlegu leiðinni.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</si>
</sst>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8" formatCode="#,##0.00\ &quot;kr&quot;;[Red]\-#,##0.00\ &quot;kr&quot;"/>
    <numFmt numFmtId="41" formatCode="_-* #,##0_-;\-* #,##0_-;_-* &quot;-&quot;_-;_-@_-"/>
    <numFmt numFmtId="164" formatCode="0.0000%"/>
    <numFmt numFmtId="165" formatCode="0.00000%"/>
    <numFmt numFmtId="166" formatCode="#,##0\ &quot;kr&quot;"/>
    <numFmt numFmtId="167" formatCode="#,##0.00\ &quot;kr&quot;"/>
    <numFmt numFmtId="168" formatCode="0\ &quot;ára&quot;"/>
    <numFmt numFmtId="169" formatCode="0\ &quot;ár&quot;"/>
    <numFmt numFmtId="170" formatCode="0.0%"/>
    <numFmt numFmtId="171" formatCode="#,##0\ &quot;kr&quot;&quot;/mán&quot;"/>
  </numFmts>
  <fonts count="24" x14ac:knownFonts="1">
    <font>
      <sz val="11"/>
      <color theme="1"/>
      <name val="Calibri"/>
      <family val="2"/>
      <scheme val="minor"/>
    </font>
    <font>
      <sz val="11"/>
      <color theme="1"/>
      <name val="Calibri"/>
      <family val="2"/>
      <scheme val="minor"/>
    </font>
    <font>
      <sz val="8"/>
      <name val="Calibri"/>
      <family val="2"/>
      <scheme val="minor"/>
    </font>
    <font>
      <sz val="11"/>
      <color rgb="FF000000"/>
      <name val="Calibri"/>
      <family val="2"/>
    </font>
    <font>
      <sz val="12"/>
      <color theme="1"/>
      <name val="Calibri"/>
      <family val="2"/>
      <scheme val="minor"/>
    </font>
    <font>
      <sz val="11"/>
      <color rgb="FFFF0000"/>
      <name val="Calibri"/>
      <family val="2"/>
      <scheme val="minor"/>
    </font>
    <font>
      <sz val="12"/>
      <name val="Calibri"/>
      <family val="2"/>
      <scheme val="minor"/>
    </font>
    <font>
      <b/>
      <sz val="11"/>
      <color rgb="FFFF0000"/>
      <name val="Calibri"/>
      <family val="2"/>
      <scheme val="minor"/>
    </font>
    <font>
      <sz val="11"/>
      <color theme="0"/>
      <name val="Calibri"/>
      <family val="2"/>
      <scheme val="minor"/>
    </font>
    <font>
      <b/>
      <sz val="14"/>
      <color theme="1"/>
      <name val="Calibri"/>
      <family val="2"/>
      <scheme val="minor"/>
    </font>
    <font>
      <sz val="11"/>
      <name val="Calibri"/>
      <family val="2"/>
      <scheme val="minor"/>
    </font>
    <font>
      <b/>
      <sz val="13"/>
      <color rgb="FF000000"/>
      <name val="Calibri"/>
      <family val="2"/>
      <scheme val="minor"/>
    </font>
    <font>
      <b/>
      <sz val="12"/>
      <name val="Calibri"/>
      <family val="2"/>
      <scheme val="minor"/>
    </font>
    <font>
      <b/>
      <sz val="11"/>
      <name val="Calibri"/>
      <family val="2"/>
      <scheme val="minor"/>
    </font>
    <font>
      <b/>
      <sz val="12"/>
      <color theme="1"/>
      <name val="Calibri"/>
      <family val="2"/>
      <scheme val="minor"/>
    </font>
    <font>
      <b/>
      <sz val="13"/>
      <color theme="0"/>
      <name val="Calibri"/>
      <family val="2"/>
      <scheme val="minor"/>
    </font>
    <font>
      <b/>
      <sz val="11"/>
      <color theme="1"/>
      <name val="Calibri"/>
      <family val="2"/>
    </font>
    <font>
      <b/>
      <sz val="11"/>
      <color rgb="FFFF0000"/>
      <name val="Calibri"/>
      <family val="2"/>
    </font>
    <font>
      <b/>
      <sz val="14"/>
      <name val="Calibri"/>
      <family val="2"/>
      <scheme val="minor"/>
    </font>
    <font>
      <b/>
      <sz val="20"/>
      <name val="Calibri"/>
      <family val="2"/>
    </font>
    <font>
      <b/>
      <sz val="14"/>
      <name val="Calibri"/>
      <family val="2"/>
    </font>
    <font>
      <b/>
      <sz val="12"/>
      <color rgb="FF000000"/>
      <name val="Aptos"/>
      <family val="2"/>
    </font>
    <font>
      <b/>
      <sz val="12"/>
      <color rgb="FFFF0000"/>
      <name val="Aptos"/>
      <family val="2"/>
    </font>
    <font>
      <i/>
      <sz val="11"/>
      <color theme="1"/>
      <name val="Calibri"/>
      <family val="2"/>
      <scheme val="minor"/>
    </font>
  </fonts>
  <fills count="11">
    <fill>
      <patternFill patternType="none"/>
    </fill>
    <fill>
      <patternFill patternType="gray125"/>
    </fill>
    <fill>
      <patternFill patternType="solid">
        <fgColor theme="1"/>
        <bgColor indexed="64"/>
      </patternFill>
    </fill>
    <fill>
      <patternFill patternType="solid">
        <fgColor theme="0" tint="-0.14999847407452621"/>
        <bgColor indexed="64"/>
      </patternFill>
    </fill>
    <fill>
      <patternFill patternType="solid">
        <fgColor theme="9" tint="0.39997558519241921"/>
        <bgColor indexed="64"/>
      </patternFill>
    </fill>
    <fill>
      <patternFill patternType="solid">
        <fgColor theme="0"/>
        <bgColor indexed="64"/>
      </patternFill>
    </fill>
    <fill>
      <patternFill patternType="solid">
        <fgColor rgb="FFC1DDEC"/>
        <bgColor indexed="64"/>
      </patternFill>
    </fill>
    <fill>
      <patternFill patternType="solid">
        <fgColor rgb="FF2A4056"/>
        <bgColor indexed="64"/>
      </patternFill>
    </fill>
    <fill>
      <patternFill patternType="solid">
        <fgColor rgb="FFA1B6C0"/>
        <bgColor indexed="64"/>
      </patternFill>
    </fill>
    <fill>
      <patternFill patternType="solid">
        <fgColor rgb="FFFFC000"/>
        <bgColor indexed="64"/>
      </patternFill>
    </fill>
    <fill>
      <patternFill patternType="solid">
        <fgColor rgb="FFFFFF00"/>
        <bgColor indexed="64"/>
      </patternFill>
    </fill>
  </fills>
  <borders count="28">
    <border>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top style="medium">
        <color indexed="64"/>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medium">
        <color indexed="64"/>
      </top>
      <bottom/>
      <diagonal/>
    </border>
  </borders>
  <cellStyleXfs count="4">
    <xf numFmtId="0" fontId="0" fillId="0" borderId="0"/>
    <xf numFmtId="9" fontId="1" fillId="0" borderId="0" applyFont="0" applyFill="0" applyBorder="0" applyAlignment="0" applyProtection="0"/>
    <xf numFmtId="0" fontId="3" fillId="0" borderId="0" applyBorder="0"/>
    <xf numFmtId="41" fontId="1" fillId="0" borderId="0" applyFont="0" applyFill="0" applyBorder="0" applyAlignment="0" applyProtection="0"/>
  </cellStyleXfs>
  <cellXfs count="144">
    <xf numFmtId="0" fontId="0" fillId="0" borderId="0" xfId="0"/>
    <xf numFmtId="10" fontId="0" fillId="0" borderId="0" xfId="0" applyNumberFormat="1"/>
    <xf numFmtId="164" fontId="0" fillId="0" borderId="0" xfId="1" applyNumberFormat="1" applyFont="1"/>
    <xf numFmtId="3" fontId="0" fillId="0" borderId="0" xfId="0" applyNumberFormat="1"/>
    <xf numFmtId="0" fontId="0" fillId="0" borderId="3" xfId="0" applyBorder="1"/>
    <xf numFmtId="0" fontId="0" fillId="0" borderId="4" xfId="0" applyBorder="1"/>
    <xf numFmtId="0" fontId="0" fillId="0" borderId="5" xfId="0" applyBorder="1"/>
    <xf numFmtId="0" fontId="0" fillId="0" borderId="6" xfId="0" applyBorder="1"/>
    <xf numFmtId="0" fontId="0" fillId="0" borderId="0" xfId="0" applyAlignment="1">
      <alignment horizontal="right"/>
    </xf>
    <xf numFmtId="0" fontId="0" fillId="2" borderId="0" xfId="0" applyFill="1"/>
    <xf numFmtId="0" fontId="0" fillId="0" borderId="0" xfId="0" applyAlignment="1">
      <alignment horizontal="center" vertical="center"/>
    </xf>
    <xf numFmtId="1" fontId="0" fillId="0" borderId="0" xfId="0" applyNumberFormat="1" applyAlignment="1">
      <alignment horizontal="center" vertical="center"/>
    </xf>
    <xf numFmtId="1" fontId="0" fillId="0" borderId="0" xfId="0" applyNumberFormat="1"/>
    <xf numFmtId="0" fontId="0" fillId="3" borderId="1" xfId="0" applyFill="1" applyBorder="1"/>
    <xf numFmtId="0" fontId="0" fillId="3" borderId="2" xfId="0" applyFill="1" applyBorder="1"/>
    <xf numFmtId="165" fontId="0" fillId="0" borderId="0" xfId="1" applyNumberFormat="1" applyFont="1"/>
    <xf numFmtId="0" fontId="0" fillId="0" borderId="1" xfId="0" applyBorder="1"/>
    <xf numFmtId="0" fontId="0" fillId="0" borderId="2" xfId="0" applyBorder="1"/>
    <xf numFmtId="1" fontId="0" fillId="0" borderId="8" xfId="0" applyNumberFormat="1" applyBorder="1"/>
    <xf numFmtId="165" fontId="0" fillId="0" borderId="4" xfId="1" applyNumberFormat="1" applyFont="1" applyBorder="1"/>
    <xf numFmtId="165" fontId="0" fillId="0" borderId="0" xfId="1" applyNumberFormat="1" applyFont="1" applyBorder="1"/>
    <xf numFmtId="0" fontId="0" fillId="0" borderId="9" xfId="0" applyBorder="1"/>
    <xf numFmtId="166" fontId="0" fillId="0" borderId="4" xfId="0" applyNumberFormat="1" applyBorder="1"/>
    <xf numFmtId="166" fontId="0" fillId="0" borderId="10" xfId="0" applyNumberFormat="1" applyBorder="1"/>
    <xf numFmtId="0" fontId="0" fillId="0" borderId="10" xfId="0" applyBorder="1"/>
    <xf numFmtId="166" fontId="0" fillId="0" borderId="0" xfId="0" applyNumberFormat="1"/>
    <xf numFmtId="167" fontId="0" fillId="0" borderId="0" xfId="0" applyNumberFormat="1"/>
    <xf numFmtId="0" fontId="0" fillId="3" borderId="0" xfId="0" applyFill="1"/>
    <xf numFmtId="0" fontId="0" fillId="3" borderId="3" xfId="0" applyFill="1" applyBorder="1"/>
    <xf numFmtId="0" fontId="0" fillId="3" borderId="5" xfId="0" applyFill="1" applyBorder="1"/>
    <xf numFmtId="0" fontId="0" fillId="3" borderId="4" xfId="0" applyFill="1" applyBorder="1"/>
    <xf numFmtId="0" fontId="0" fillId="3" borderId="10" xfId="0" applyFill="1" applyBorder="1"/>
    <xf numFmtId="0" fontId="0" fillId="3" borderId="6" xfId="0" applyFill="1" applyBorder="1"/>
    <xf numFmtId="0" fontId="0" fillId="3" borderId="9" xfId="0" applyFill="1" applyBorder="1"/>
    <xf numFmtId="166" fontId="0" fillId="4" borderId="14" xfId="0" applyNumberFormat="1" applyFill="1" applyBorder="1"/>
    <xf numFmtId="166" fontId="0" fillId="4" borderId="7" xfId="0" applyNumberFormat="1" applyFill="1" applyBorder="1"/>
    <xf numFmtId="10" fontId="0" fillId="0" borderId="4" xfId="0" applyNumberFormat="1" applyBorder="1"/>
    <xf numFmtId="9" fontId="0" fillId="0" borderId="0" xfId="0" applyNumberFormat="1"/>
    <xf numFmtId="0" fontId="0" fillId="0" borderId="8" xfId="0" applyBorder="1"/>
    <xf numFmtId="0" fontId="0" fillId="0" borderId="14" xfId="0" applyBorder="1"/>
    <xf numFmtId="0" fontId="0" fillId="0" borderId="15" xfId="0" applyBorder="1"/>
    <xf numFmtId="0" fontId="0" fillId="5" borderId="0" xfId="0" applyFill="1"/>
    <xf numFmtId="0" fontId="0" fillId="5" borderId="20" xfId="0" applyFill="1" applyBorder="1"/>
    <xf numFmtId="0" fontId="10" fillId="5" borderId="20" xfId="0" applyFont="1" applyFill="1" applyBorder="1"/>
    <xf numFmtId="0" fontId="13" fillId="5" borderId="20" xfId="0" applyFont="1" applyFill="1" applyBorder="1"/>
    <xf numFmtId="0" fontId="0" fillId="5" borderId="21" xfId="0" applyFill="1" applyBorder="1"/>
    <xf numFmtId="166" fontId="10" fillId="0" borderId="21" xfId="0" applyNumberFormat="1" applyFont="1" applyBorder="1"/>
    <xf numFmtId="166" fontId="10" fillId="5" borderId="21" xfId="0" applyNumberFormat="1" applyFont="1" applyFill="1" applyBorder="1"/>
    <xf numFmtId="166" fontId="0" fillId="5" borderId="21" xfId="0" applyNumberFormat="1" applyFill="1" applyBorder="1"/>
    <xf numFmtId="0" fontId="0" fillId="5" borderId="20" xfId="0" applyFill="1" applyBorder="1" applyAlignment="1">
      <alignment horizontal="left" wrapText="1"/>
    </xf>
    <xf numFmtId="0" fontId="10" fillId="5" borderId="22" xfId="0" applyFont="1" applyFill="1" applyBorder="1"/>
    <xf numFmtId="0" fontId="13" fillId="5" borderId="24" xfId="0" applyFont="1" applyFill="1" applyBorder="1"/>
    <xf numFmtId="0" fontId="7" fillId="0" borderId="0" xfId="0" applyFont="1" applyAlignment="1">
      <alignment horizontal="left"/>
    </xf>
    <xf numFmtId="0" fontId="5" fillId="5" borderId="0" xfId="0" applyFont="1" applyFill="1"/>
    <xf numFmtId="167" fontId="0" fillId="5" borderId="0" xfId="0" applyNumberFormat="1" applyFill="1"/>
    <xf numFmtId="0" fontId="8" fillId="5" borderId="0" xfId="0" applyFont="1" applyFill="1"/>
    <xf numFmtId="0" fontId="11" fillId="5" borderId="0" xfId="0" applyFont="1" applyFill="1" applyAlignment="1">
      <alignment horizontal="center" vertical="center" readingOrder="1"/>
    </xf>
    <xf numFmtId="0" fontId="10" fillId="6" borderId="21" xfId="0" applyFont="1" applyFill="1" applyBorder="1" applyProtection="1">
      <protection locked="0"/>
    </xf>
    <xf numFmtId="168" fontId="10" fillId="6" borderId="21" xfId="0" applyNumberFormat="1" applyFont="1" applyFill="1" applyBorder="1" applyProtection="1">
      <protection locked="0"/>
    </xf>
    <xf numFmtId="166" fontId="0" fillId="6" borderId="21" xfId="3" applyNumberFormat="1" applyFont="1" applyFill="1" applyBorder="1" applyProtection="1">
      <protection locked="0"/>
    </xf>
    <xf numFmtId="9" fontId="0" fillId="6" borderId="21" xfId="0" applyNumberFormat="1" applyFill="1" applyBorder="1" applyProtection="1">
      <protection locked="0"/>
    </xf>
    <xf numFmtId="166" fontId="10" fillId="6" borderId="21" xfId="0" applyNumberFormat="1" applyFont="1" applyFill="1" applyBorder="1" applyProtection="1">
      <protection locked="0"/>
    </xf>
    <xf numFmtId="168" fontId="10" fillId="6" borderId="21" xfId="0" applyNumberFormat="1" applyFont="1" applyFill="1" applyBorder="1" applyAlignment="1" applyProtection="1">
      <alignment vertical="center"/>
      <protection locked="0"/>
    </xf>
    <xf numFmtId="168" fontId="0" fillId="6" borderId="21" xfId="0" applyNumberFormat="1" applyFill="1" applyBorder="1" applyProtection="1">
      <protection locked="0"/>
    </xf>
    <xf numFmtId="169" fontId="10" fillId="6" borderId="21" xfId="0" applyNumberFormat="1" applyFont="1" applyFill="1" applyBorder="1" applyProtection="1">
      <protection locked="0"/>
    </xf>
    <xf numFmtId="169" fontId="10" fillId="6" borderId="23" xfId="0" applyNumberFormat="1" applyFont="1" applyFill="1" applyBorder="1" applyProtection="1">
      <protection locked="0"/>
    </xf>
    <xf numFmtId="166" fontId="14" fillId="0" borderId="25" xfId="0" applyNumberFormat="1" applyFont="1" applyBorder="1"/>
    <xf numFmtId="166" fontId="6" fillId="5" borderId="21" xfId="0" applyNumberFormat="1" applyFont="1" applyFill="1" applyBorder="1"/>
    <xf numFmtId="166" fontId="4" fillId="5" borderId="21" xfId="0" applyNumberFormat="1" applyFont="1" applyFill="1" applyBorder="1"/>
    <xf numFmtId="0" fontId="4" fillId="8" borderId="11" xfId="0" applyFont="1" applyFill="1" applyBorder="1"/>
    <xf numFmtId="0" fontId="6" fillId="8" borderId="12" xfId="0" applyFont="1" applyFill="1" applyBorder="1"/>
    <xf numFmtId="0" fontId="6" fillId="8" borderId="13" xfId="0" applyFont="1" applyFill="1" applyBorder="1"/>
    <xf numFmtId="0" fontId="4" fillId="8" borderId="12" xfId="0" applyFont="1" applyFill="1" applyBorder="1"/>
    <xf numFmtId="0" fontId="10" fillId="5" borderId="0" xfId="0" applyFont="1" applyFill="1"/>
    <xf numFmtId="8" fontId="0" fillId="0" borderId="4" xfId="0" applyNumberFormat="1" applyBorder="1"/>
    <xf numFmtId="10" fontId="0" fillId="0" borderId="0" xfId="1" applyNumberFormat="1" applyFont="1"/>
    <xf numFmtId="0" fontId="16" fillId="5" borderId="10" xfId="0" applyFont="1" applyFill="1" applyBorder="1"/>
    <xf numFmtId="2" fontId="0" fillId="0" borderId="0" xfId="0" applyNumberFormat="1"/>
    <xf numFmtId="165" fontId="0" fillId="0" borderId="2" xfId="1" applyNumberFormat="1" applyFont="1" applyBorder="1"/>
    <xf numFmtId="165" fontId="0" fillId="0" borderId="10" xfId="1" applyNumberFormat="1" applyFont="1" applyBorder="1"/>
    <xf numFmtId="1" fontId="0" fillId="9" borderId="14" xfId="0" applyNumberFormat="1" applyFill="1" applyBorder="1"/>
    <xf numFmtId="1" fontId="0" fillId="9" borderId="7" xfId="0" applyNumberFormat="1" applyFill="1" applyBorder="1"/>
    <xf numFmtId="170" fontId="0" fillId="0" borderId="0" xfId="1" applyNumberFormat="1" applyFont="1"/>
    <xf numFmtId="10" fontId="10" fillId="6" borderId="21" xfId="0" applyNumberFormat="1" applyFont="1" applyFill="1" applyBorder="1" applyAlignment="1" applyProtection="1">
      <alignment horizontal="right"/>
      <protection locked="0"/>
    </xf>
    <xf numFmtId="170" fontId="0" fillId="0" borderId="0" xfId="0" applyNumberFormat="1"/>
    <xf numFmtId="170" fontId="10" fillId="6" borderId="21" xfId="0" applyNumberFormat="1" applyFont="1" applyFill="1" applyBorder="1" applyProtection="1">
      <protection locked="0"/>
    </xf>
    <xf numFmtId="0" fontId="0" fillId="5" borderId="22" xfId="0" applyFill="1" applyBorder="1"/>
    <xf numFmtId="166" fontId="0" fillId="5" borderId="23" xfId="0" applyNumberFormat="1" applyFill="1" applyBorder="1"/>
    <xf numFmtId="166" fontId="0" fillId="4" borderId="4" xfId="0" applyNumberFormat="1" applyFill="1" applyBorder="1"/>
    <xf numFmtId="166" fontId="0" fillId="4" borderId="6" xfId="0" applyNumberFormat="1" applyFill="1" applyBorder="1"/>
    <xf numFmtId="166" fontId="0" fillId="4" borderId="26" xfId="0" applyNumberFormat="1" applyFill="1" applyBorder="1"/>
    <xf numFmtId="166" fontId="0" fillId="5" borderId="0" xfId="0" applyNumberFormat="1" applyFill="1"/>
    <xf numFmtId="170" fontId="10" fillId="6" borderId="21" xfId="0" applyNumberFormat="1" applyFont="1" applyFill="1" applyBorder="1" applyAlignment="1" applyProtection="1">
      <alignment horizontal="right"/>
      <protection locked="0"/>
    </xf>
    <xf numFmtId="1" fontId="0" fillId="5" borderId="0" xfId="0" applyNumberFormat="1" applyFill="1"/>
    <xf numFmtId="166" fontId="10" fillId="6" borderId="21" xfId="3" applyNumberFormat="1" applyFont="1" applyFill="1" applyBorder="1" applyProtection="1">
      <protection locked="0"/>
    </xf>
    <xf numFmtId="9" fontId="10" fillId="6" borderId="21" xfId="0" applyNumberFormat="1" applyFont="1" applyFill="1" applyBorder="1" applyProtection="1">
      <protection locked="0"/>
    </xf>
    <xf numFmtId="0" fontId="10" fillId="5" borderId="21" xfId="0" applyFont="1" applyFill="1" applyBorder="1"/>
    <xf numFmtId="166" fontId="10" fillId="5" borderId="23" xfId="0" applyNumberFormat="1" applyFont="1" applyFill="1" applyBorder="1"/>
    <xf numFmtId="171" fontId="6" fillId="5" borderId="21" xfId="0" applyNumberFormat="1" applyFont="1" applyFill="1" applyBorder="1"/>
    <xf numFmtId="166" fontId="12" fillId="0" borderId="25" xfId="0" applyNumberFormat="1" applyFont="1" applyBorder="1"/>
    <xf numFmtId="168" fontId="10" fillId="5" borderId="21" xfId="0" applyNumberFormat="1" applyFont="1" applyFill="1" applyBorder="1" applyProtection="1">
      <protection locked="0"/>
    </xf>
    <xf numFmtId="0" fontId="0" fillId="5" borderId="0" xfId="0" applyFill="1" applyAlignment="1">
      <alignment horizontal="right"/>
    </xf>
    <xf numFmtId="0" fontId="0" fillId="10" borderId="0" xfId="0" applyFill="1" applyAlignment="1">
      <alignment horizontal="right"/>
    </xf>
    <xf numFmtId="170" fontId="10" fillId="5" borderId="21" xfId="0" applyNumberFormat="1" applyFont="1" applyFill="1" applyBorder="1" applyAlignment="1" applyProtection="1">
      <alignment horizontal="right"/>
      <protection locked="0"/>
    </xf>
    <xf numFmtId="0" fontId="0" fillId="5" borderId="27" xfId="0" applyFill="1" applyBorder="1"/>
    <xf numFmtId="0" fontId="0" fillId="5" borderId="20" xfId="0" applyFill="1" applyBorder="1" applyAlignment="1">
      <alignment vertical="center"/>
    </xf>
    <xf numFmtId="0" fontId="14" fillId="5" borderId="0" xfId="0" applyFont="1" applyFill="1"/>
    <xf numFmtId="0" fontId="0" fillId="5" borderId="20" xfId="0" applyFill="1" applyBorder="1" applyAlignment="1">
      <alignment horizontal="left"/>
    </xf>
    <xf numFmtId="168" fontId="10" fillId="6" borderId="21" xfId="0" applyNumberFormat="1" applyFont="1" applyFill="1" applyBorder="1" applyAlignment="1" applyProtection="1">
      <alignment horizontal="right" vertical="center"/>
      <protection locked="0"/>
    </xf>
    <xf numFmtId="0" fontId="10" fillId="5" borderId="27" xfId="0" applyFont="1" applyFill="1" applyBorder="1"/>
    <xf numFmtId="0" fontId="0" fillId="0" borderId="20" xfId="0" applyBorder="1"/>
    <xf numFmtId="0" fontId="19" fillId="5" borderId="0" xfId="0" applyFont="1" applyFill="1"/>
    <xf numFmtId="0" fontId="20" fillId="5" borderId="10" xfId="0" applyFont="1" applyFill="1" applyBorder="1" applyAlignment="1">
      <alignment horizontal="center" vertical="center"/>
    </xf>
    <xf numFmtId="0" fontId="17" fillId="5" borderId="0" xfId="0" applyFont="1" applyFill="1"/>
    <xf numFmtId="0" fontId="21" fillId="0" borderId="0" xfId="0" applyFont="1" applyAlignment="1">
      <alignment vertical="center"/>
    </xf>
    <xf numFmtId="9" fontId="0" fillId="0" borderId="9" xfId="0" applyNumberFormat="1" applyBorder="1"/>
    <xf numFmtId="9" fontId="0" fillId="0" borderId="10" xfId="0" applyNumberFormat="1" applyBorder="1"/>
    <xf numFmtId="0" fontId="8" fillId="0" borderId="3" xfId="0" applyFont="1" applyBorder="1"/>
    <xf numFmtId="0" fontId="8" fillId="0" borderId="0" xfId="0" applyFont="1"/>
    <xf numFmtId="0" fontId="23" fillId="5" borderId="0" xfId="0" quotePrefix="1" applyFont="1" applyFill="1"/>
    <xf numFmtId="0" fontId="0" fillId="10" borderId="21" xfId="0" applyFill="1" applyBorder="1" applyAlignment="1">
      <alignment horizontal="center" vertical="center" wrapText="1"/>
    </xf>
    <xf numFmtId="0" fontId="15" fillId="7" borderId="16" xfId="0" applyFont="1" applyFill="1" applyBorder="1" applyAlignment="1">
      <alignment horizontal="center" vertical="center"/>
    </xf>
    <xf numFmtId="0" fontId="15" fillId="7" borderId="17" xfId="0" applyFont="1" applyFill="1" applyBorder="1" applyAlignment="1">
      <alignment horizontal="center" vertical="center"/>
    </xf>
    <xf numFmtId="0" fontId="15" fillId="7" borderId="18" xfId="0" applyFont="1" applyFill="1" applyBorder="1" applyAlignment="1">
      <alignment horizontal="center" vertical="center"/>
    </xf>
    <xf numFmtId="0" fontId="15" fillId="7" borderId="19" xfId="0" applyFont="1" applyFill="1" applyBorder="1" applyAlignment="1">
      <alignment horizontal="center" vertical="center"/>
    </xf>
    <xf numFmtId="41" fontId="22" fillId="5" borderId="0" xfId="3" applyFont="1" applyFill="1" applyAlignment="1">
      <alignment horizontal="left" vertical="center" wrapText="1"/>
    </xf>
    <xf numFmtId="0" fontId="18" fillId="6" borderId="16" xfId="0" applyFont="1" applyFill="1" applyBorder="1" applyAlignment="1">
      <alignment horizontal="center" vertical="center"/>
    </xf>
    <xf numFmtId="0" fontId="18" fillId="6" borderId="17" xfId="0" applyFont="1" applyFill="1" applyBorder="1" applyAlignment="1">
      <alignment horizontal="center" vertical="center"/>
    </xf>
    <xf numFmtId="0" fontId="18" fillId="6" borderId="18" xfId="0" applyFont="1" applyFill="1" applyBorder="1" applyAlignment="1">
      <alignment horizontal="center" vertical="center"/>
    </xf>
    <xf numFmtId="0" fontId="18" fillId="6" borderId="19" xfId="0" applyFont="1" applyFill="1" applyBorder="1" applyAlignment="1">
      <alignment horizontal="center" vertical="center"/>
    </xf>
    <xf numFmtId="0" fontId="9" fillId="6" borderId="16" xfId="0" applyFont="1" applyFill="1" applyBorder="1" applyAlignment="1">
      <alignment horizontal="center" vertical="center"/>
    </xf>
    <xf numFmtId="0" fontId="9" fillId="6" borderId="17" xfId="0" applyFont="1" applyFill="1" applyBorder="1" applyAlignment="1">
      <alignment horizontal="center" vertical="center"/>
    </xf>
    <xf numFmtId="0" fontId="9" fillId="6" borderId="18" xfId="0" applyFont="1" applyFill="1" applyBorder="1" applyAlignment="1">
      <alignment horizontal="center" vertical="center"/>
    </xf>
    <xf numFmtId="0" fontId="9" fillId="6" borderId="19" xfId="0" applyFont="1" applyFill="1" applyBorder="1" applyAlignment="1">
      <alignment horizontal="center" vertical="center"/>
    </xf>
    <xf numFmtId="0" fontId="18" fillId="6" borderId="20" xfId="0" applyFont="1" applyFill="1" applyBorder="1" applyAlignment="1">
      <alignment horizontal="center" vertical="center"/>
    </xf>
    <xf numFmtId="0" fontId="18" fillId="6" borderId="21" xfId="0" applyFont="1" applyFill="1" applyBorder="1" applyAlignment="1">
      <alignment horizontal="center" vertical="center"/>
    </xf>
    <xf numFmtId="0" fontId="10" fillId="5" borderId="1" xfId="0" applyFont="1" applyFill="1" applyBorder="1"/>
    <xf numFmtId="0" fontId="10" fillId="5" borderId="3" xfId="0" applyFont="1" applyFill="1" applyBorder="1"/>
    <xf numFmtId="168" fontId="10" fillId="6" borderId="4" xfId="0" applyNumberFormat="1" applyFont="1" applyFill="1" applyBorder="1" applyProtection="1">
      <protection locked="0"/>
    </xf>
    <xf numFmtId="0" fontId="0" fillId="5" borderId="4" xfId="0" applyFill="1" applyBorder="1" applyAlignment="1">
      <alignment horizontal="right"/>
    </xf>
    <xf numFmtId="169" fontId="10" fillId="6" borderId="4" xfId="0" applyNumberFormat="1" applyFont="1" applyFill="1" applyBorder="1" applyProtection="1">
      <protection locked="0"/>
    </xf>
    <xf numFmtId="0" fontId="10" fillId="5" borderId="5" xfId="0" applyFont="1" applyFill="1" applyBorder="1"/>
    <xf numFmtId="169" fontId="10" fillId="6" borderId="6" xfId="0" applyNumberFormat="1" applyFont="1" applyFill="1" applyBorder="1" applyProtection="1">
      <protection locked="0"/>
    </xf>
    <xf numFmtId="168" fontId="10" fillId="5" borderId="2" xfId="0" applyNumberFormat="1" applyFont="1" applyFill="1" applyBorder="1" applyProtection="1">
      <protection locked="0"/>
    </xf>
  </cellXfs>
  <cellStyles count="4">
    <cellStyle name="Comma [0]" xfId="3" builtinId="6"/>
    <cellStyle name="Normal" xfId="0" builtinId="0"/>
    <cellStyle name="Normal 2" xfId="2" xr:uid="{54167AC1-6AE3-4B7E-B36E-E5477EFC8485}"/>
    <cellStyle name="Percent" xfId="1" builtinId="5"/>
  </cellStyles>
  <dxfs count="7">
    <dxf>
      <fill>
        <patternFill>
          <bgColor theme="0"/>
        </patternFill>
      </fill>
    </dxf>
    <dxf>
      <fill>
        <patternFill>
          <bgColor rgb="FFC1DDEC"/>
        </patternFill>
      </fill>
    </dxf>
    <dxf>
      <fill>
        <patternFill>
          <bgColor theme="0"/>
        </patternFill>
      </fill>
    </dxf>
    <dxf>
      <fill>
        <patternFill>
          <bgColor theme="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s>
  <tableStyles count="0" defaultTableStyle="TableStyleMedium9" defaultPivotStyle="PivotStyleLight16"/>
  <colors>
    <mruColors>
      <color rgb="FFC1DDEC"/>
      <color rgb="FFEFEAD8"/>
      <color rgb="FF518EEE"/>
      <color rgb="FFA1B6C0"/>
      <color rgb="FFFFCCA3"/>
      <color rgb="FF2A4056"/>
      <color rgb="FFFFDEC4"/>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is-IS" sz="1800" b="1">
                <a:solidFill>
                  <a:sysClr val="windowText" lastClr="000000"/>
                </a:solidFill>
                <a:effectLst/>
              </a:rPr>
              <a:t>Útgreiðslur á mánuði </a:t>
            </a:r>
          </a:p>
          <a:p>
            <a:pPr>
              <a:defRPr b="1">
                <a:solidFill>
                  <a:sysClr val="windowText" lastClr="000000"/>
                </a:solidFill>
              </a:defRPr>
            </a:pPr>
            <a:r>
              <a:rPr lang="is-IS" sz="1400" b="0">
                <a:solidFill>
                  <a:sysClr val="windowText" lastClr="000000"/>
                </a:solidFill>
                <a:effectLst/>
              </a:rPr>
              <a:t>- Ef</a:t>
            </a:r>
            <a:r>
              <a:rPr lang="is-IS" sz="1400" b="0" baseline="0">
                <a:solidFill>
                  <a:sysClr val="windowText" lastClr="000000"/>
                </a:solidFill>
                <a:effectLst/>
              </a:rPr>
              <a:t> framtíðargreiðslur greiðast í Frjálsa</a:t>
            </a:r>
            <a:endParaRPr lang="is-IS" sz="1400" b="0">
              <a:solidFill>
                <a:sysClr val="windowText" lastClr="000000"/>
              </a:solidFill>
              <a:effectLst/>
            </a:endParaRP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is-IS"/>
        </a:p>
      </c:txPr>
    </c:title>
    <c:autoTitleDeleted val="0"/>
    <c:plotArea>
      <c:layout>
        <c:manualLayout>
          <c:layoutTarget val="inner"/>
          <c:xMode val="edge"/>
          <c:yMode val="edge"/>
          <c:x val="0.11996524057367462"/>
          <c:y val="0.30789942664778353"/>
          <c:w val="0.85862052473918937"/>
          <c:h val="0.53259104645445965"/>
        </c:manualLayout>
      </c:layout>
      <c:barChart>
        <c:barDir val="col"/>
        <c:grouping val="stacked"/>
        <c:varyColors val="0"/>
        <c:ser>
          <c:idx val="0"/>
          <c:order val="0"/>
          <c:tx>
            <c:strRef>
              <c:f>'Aðalskjal gamalt'!$G$32</c:f>
              <c:strCache>
                <c:ptCount val="1"/>
                <c:pt idx="0">
                  <c:v>Samtrygging Frjálsa leiðin 0 kr.</c:v>
                </c:pt>
              </c:strCache>
            </c:strRef>
          </c:tx>
          <c:spPr>
            <a:solidFill>
              <a:srgbClr val="FFCCA3"/>
            </a:solidFill>
            <a:ln>
              <a:solidFill>
                <a:sysClr val="windowText" lastClr="000000"/>
              </a:solidFill>
            </a:ln>
            <a:effectLst/>
          </c:spPr>
          <c:invertIfNegative val="0"/>
          <c:cat>
            <c:numRef>
              <c:f>'Aðalskjal gamalt'!$F$33:$F$62</c:f>
              <c:numCache>
                <c:formatCode>General</c:formatCode>
                <c:ptCount val="30"/>
                <c:pt idx="0">
                  <c:v>100</c:v>
                </c:pt>
                <c:pt idx="1">
                  <c:v>101</c:v>
                </c:pt>
                <c:pt idx="2">
                  <c:v>102</c:v>
                </c:pt>
                <c:pt idx="3">
                  <c:v>103</c:v>
                </c:pt>
                <c:pt idx="4">
                  <c:v>104</c:v>
                </c:pt>
                <c:pt idx="5">
                  <c:v>105</c:v>
                </c:pt>
                <c:pt idx="6">
                  <c:v>106</c:v>
                </c:pt>
                <c:pt idx="7">
                  <c:v>107</c:v>
                </c:pt>
                <c:pt idx="8">
                  <c:v>108</c:v>
                </c:pt>
                <c:pt idx="9">
                  <c:v>109</c:v>
                </c:pt>
                <c:pt idx="10">
                  <c:v>110</c:v>
                </c:pt>
                <c:pt idx="11">
                  <c:v>111</c:v>
                </c:pt>
                <c:pt idx="12">
                  <c:v>112</c:v>
                </c:pt>
                <c:pt idx="13">
                  <c:v>113</c:v>
                </c:pt>
                <c:pt idx="14">
                  <c:v>114</c:v>
                </c:pt>
                <c:pt idx="15">
                  <c:v>115</c:v>
                </c:pt>
                <c:pt idx="16">
                  <c:v>116</c:v>
                </c:pt>
                <c:pt idx="17">
                  <c:v>117</c:v>
                </c:pt>
                <c:pt idx="18">
                  <c:v>118</c:v>
                </c:pt>
                <c:pt idx="19">
                  <c:v>119</c:v>
                </c:pt>
                <c:pt idx="20">
                  <c:v>120</c:v>
                </c:pt>
                <c:pt idx="21">
                  <c:v>121</c:v>
                </c:pt>
                <c:pt idx="22">
                  <c:v>122</c:v>
                </c:pt>
                <c:pt idx="23">
                  <c:v>123</c:v>
                </c:pt>
                <c:pt idx="24">
                  <c:v>124</c:v>
                </c:pt>
                <c:pt idx="25">
                  <c:v>125</c:v>
                </c:pt>
                <c:pt idx="26">
                  <c:v>126</c:v>
                </c:pt>
                <c:pt idx="27">
                  <c:v>127</c:v>
                </c:pt>
                <c:pt idx="28">
                  <c:v>128</c:v>
                </c:pt>
                <c:pt idx="29">
                  <c:v>129</c:v>
                </c:pt>
              </c:numCache>
            </c:numRef>
          </c:cat>
          <c:val>
            <c:numRef>
              <c:f>'Aðalskjal gamalt'!$G$33:$G$62</c:f>
              <c:numCache>
                <c:formatCode>#,##0\ "kr"</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val>
          <c:extLst>
            <c:ext xmlns:c16="http://schemas.microsoft.com/office/drawing/2014/chart" uri="{C3380CC4-5D6E-409C-BE32-E72D297353CC}">
              <c16:uniqueId val="{00000000-7822-490D-9E7D-100FEC93699F}"/>
            </c:ext>
          </c:extLst>
        </c:ser>
        <c:ser>
          <c:idx val="2"/>
          <c:order val="1"/>
          <c:tx>
            <c:strRef>
              <c:f>'Aðalskjal gamalt'!$H$32</c:f>
              <c:strCache>
                <c:ptCount val="1"/>
                <c:pt idx="0">
                  <c:v>Bundin séreign 0 kr.</c:v>
                </c:pt>
              </c:strCache>
            </c:strRef>
          </c:tx>
          <c:spPr>
            <a:solidFill>
              <a:srgbClr val="A1B6C0"/>
            </a:solidFill>
            <a:ln>
              <a:solidFill>
                <a:schemeClr val="tx1"/>
              </a:solidFill>
            </a:ln>
            <a:effectLst/>
          </c:spPr>
          <c:invertIfNegative val="0"/>
          <c:cat>
            <c:numRef>
              <c:f>'Aðalskjal gamalt'!$F$33:$F$62</c:f>
              <c:numCache>
                <c:formatCode>General</c:formatCode>
                <c:ptCount val="30"/>
                <c:pt idx="0">
                  <c:v>100</c:v>
                </c:pt>
                <c:pt idx="1">
                  <c:v>101</c:v>
                </c:pt>
                <c:pt idx="2">
                  <c:v>102</c:v>
                </c:pt>
                <c:pt idx="3">
                  <c:v>103</c:v>
                </c:pt>
                <c:pt idx="4">
                  <c:v>104</c:v>
                </c:pt>
                <c:pt idx="5">
                  <c:v>105</c:v>
                </c:pt>
                <c:pt idx="6">
                  <c:v>106</c:v>
                </c:pt>
                <c:pt idx="7">
                  <c:v>107</c:v>
                </c:pt>
                <c:pt idx="8">
                  <c:v>108</c:v>
                </c:pt>
                <c:pt idx="9">
                  <c:v>109</c:v>
                </c:pt>
                <c:pt idx="10">
                  <c:v>110</c:v>
                </c:pt>
                <c:pt idx="11">
                  <c:v>111</c:v>
                </c:pt>
                <c:pt idx="12">
                  <c:v>112</c:v>
                </c:pt>
                <c:pt idx="13">
                  <c:v>113</c:v>
                </c:pt>
                <c:pt idx="14">
                  <c:v>114</c:v>
                </c:pt>
                <c:pt idx="15">
                  <c:v>115</c:v>
                </c:pt>
                <c:pt idx="16">
                  <c:v>116</c:v>
                </c:pt>
                <c:pt idx="17">
                  <c:v>117</c:v>
                </c:pt>
                <c:pt idx="18">
                  <c:v>118</c:v>
                </c:pt>
                <c:pt idx="19">
                  <c:v>119</c:v>
                </c:pt>
                <c:pt idx="20">
                  <c:v>120</c:v>
                </c:pt>
                <c:pt idx="21">
                  <c:v>121</c:v>
                </c:pt>
                <c:pt idx="22">
                  <c:v>122</c:v>
                </c:pt>
                <c:pt idx="23">
                  <c:v>123</c:v>
                </c:pt>
                <c:pt idx="24">
                  <c:v>124</c:v>
                </c:pt>
                <c:pt idx="25">
                  <c:v>125</c:v>
                </c:pt>
                <c:pt idx="26">
                  <c:v>126</c:v>
                </c:pt>
                <c:pt idx="27">
                  <c:v>127</c:v>
                </c:pt>
                <c:pt idx="28">
                  <c:v>128</c:v>
                </c:pt>
                <c:pt idx="29">
                  <c:v>129</c:v>
                </c:pt>
              </c:numCache>
            </c:numRef>
          </c:cat>
          <c:val>
            <c:numRef>
              <c:f>'Aðalskjal gamalt'!$H$33:$H$62</c:f>
              <c:numCache>
                <c:formatCode>#,##0\ "kr"</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val>
          <c:extLst>
            <c:ext xmlns:c16="http://schemas.microsoft.com/office/drawing/2014/chart" uri="{C3380CC4-5D6E-409C-BE32-E72D297353CC}">
              <c16:uniqueId val="{00000001-7822-490D-9E7D-100FEC93699F}"/>
            </c:ext>
          </c:extLst>
        </c:ser>
        <c:ser>
          <c:idx val="3"/>
          <c:order val="2"/>
          <c:tx>
            <c:strRef>
              <c:f>'Aðalskjal gamalt'!$I$32</c:f>
              <c:strCache>
                <c:ptCount val="1"/>
                <c:pt idx="0">
                  <c:v>Frjáls séreign 0 kr.</c:v>
                </c:pt>
              </c:strCache>
            </c:strRef>
          </c:tx>
          <c:spPr>
            <a:solidFill>
              <a:srgbClr val="518EEE"/>
            </a:solidFill>
            <a:ln>
              <a:solidFill>
                <a:schemeClr val="tx2">
                  <a:lumMod val="50000"/>
                </a:schemeClr>
              </a:solidFill>
            </a:ln>
            <a:effectLst/>
          </c:spPr>
          <c:invertIfNegative val="0"/>
          <c:cat>
            <c:numRef>
              <c:f>'Aðalskjal gamalt'!$F$33:$F$62</c:f>
              <c:numCache>
                <c:formatCode>General</c:formatCode>
                <c:ptCount val="30"/>
                <c:pt idx="0">
                  <c:v>100</c:v>
                </c:pt>
                <c:pt idx="1">
                  <c:v>101</c:v>
                </c:pt>
                <c:pt idx="2">
                  <c:v>102</c:v>
                </c:pt>
                <c:pt idx="3">
                  <c:v>103</c:v>
                </c:pt>
                <c:pt idx="4">
                  <c:v>104</c:v>
                </c:pt>
                <c:pt idx="5">
                  <c:v>105</c:v>
                </c:pt>
                <c:pt idx="6">
                  <c:v>106</c:v>
                </c:pt>
                <c:pt idx="7">
                  <c:v>107</c:v>
                </c:pt>
                <c:pt idx="8">
                  <c:v>108</c:v>
                </c:pt>
                <c:pt idx="9">
                  <c:v>109</c:v>
                </c:pt>
                <c:pt idx="10">
                  <c:v>110</c:v>
                </c:pt>
                <c:pt idx="11">
                  <c:v>111</c:v>
                </c:pt>
                <c:pt idx="12">
                  <c:v>112</c:v>
                </c:pt>
                <c:pt idx="13">
                  <c:v>113</c:v>
                </c:pt>
                <c:pt idx="14">
                  <c:v>114</c:v>
                </c:pt>
                <c:pt idx="15">
                  <c:v>115</c:v>
                </c:pt>
                <c:pt idx="16">
                  <c:v>116</c:v>
                </c:pt>
                <c:pt idx="17">
                  <c:v>117</c:v>
                </c:pt>
                <c:pt idx="18">
                  <c:v>118</c:v>
                </c:pt>
                <c:pt idx="19">
                  <c:v>119</c:v>
                </c:pt>
                <c:pt idx="20">
                  <c:v>120</c:v>
                </c:pt>
                <c:pt idx="21">
                  <c:v>121</c:v>
                </c:pt>
                <c:pt idx="22">
                  <c:v>122</c:v>
                </c:pt>
                <c:pt idx="23">
                  <c:v>123</c:v>
                </c:pt>
                <c:pt idx="24">
                  <c:v>124</c:v>
                </c:pt>
                <c:pt idx="25">
                  <c:v>125</c:v>
                </c:pt>
                <c:pt idx="26">
                  <c:v>126</c:v>
                </c:pt>
                <c:pt idx="27">
                  <c:v>127</c:v>
                </c:pt>
                <c:pt idx="28">
                  <c:v>128</c:v>
                </c:pt>
                <c:pt idx="29">
                  <c:v>129</c:v>
                </c:pt>
              </c:numCache>
            </c:numRef>
          </c:cat>
          <c:val>
            <c:numRef>
              <c:f>'Aðalskjal gamalt'!$I$33:$I$62</c:f>
              <c:numCache>
                <c:formatCode>#,##0\ "kr"</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val>
          <c:extLst>
            <c:ext xmlns:c16="http://schemas.microsoft.com/office/drawing/2014/chart" uri="{C3380CC4-5D6E-409C-BE32-E72D297353CC}">
              <c16:uniqueId val="{00000002-7822-490D-9E7D-100FEC93699F}"/>
            </c:ext>
          </c:extLst>
        </c:ser>
        <c:ser>
          <c:idx val="4"/>
          <c:order val="3"/>
          <c:tx>
            <c:strRef>
              <c:f>'Aðalskjal gamalt'!$J$32</c:f>
              <c:strCache>
                <c:ptCount val="1"/>
                <c:pt idx="0">
                  <c:v>Viðbótarsparnaður 0 kr.</c:v>
                </c:pt>
              </c:strCache>
            </c:strRef>
          </c:tx>
          <c:spPr>
            <a:solidFill>
              <a:srgbClr val="EFEAD8"/>
            </a:solidFill>
            <a:ln>
              <a:solidFill>
                <a:sysClr val="windowText" lastClr="000000"/>
              </a:solidFill>
            </a:ln>
            <a:effectLst/>
          </c:spPr>
          <c:invertIfNegative val="0"/>
          <c:cat>
            <c:numRef>
              <c:f>'Aðalskjal gamalt'!$F$33:$F$62</c:f>
              <c:numCache>
                <c:formatCode>General</c:formatCode>
                <c:ptCount val="30"/>
                <c:pt idx="0">
                  <c:v>100</c:v>
                </c:pt>
                <c:pt idx="1">
                  <c:v>101</c:v>
                </c:pt>
                <c:pt idx="2">
                  <c:v>102</c:v>
                </c:pt>
                <c:pt idx="3">
                  <c:v>103</c:v>
                </c:pt>
                <c:pt idx="4">
                  <c:v>104</c:v>
                </c:pt>
                <c:pt idx="5">
                  <c:v>105</c:v>
                </c:pt>
                <c:pt idx="6">
                  <c:v>106</c:v>
                </c:pt>
                <c:pt idx="7">
                  <c:v>107</c:v>
                </c:pt>
                <c:pt idx="8">
                  <c:v>108</c:v>
                </c:pt>
                <c:pt idx="9">
                  <c:v>109</c:v>
                </c:pt>
                <c:pt idx="10">
                  <c:v>110</c:v>
                </c:pt>
                <c:pt idx="11">
                  <c:v>111</c:v>
                </c:pt>
                <c:pt idx="12">
                  <c:v>112</c:v>
                </c:pt>
                <c:pt idx="13">
                  <c:v>113</c:v>
                </c:pt>
                <c:pt idx="14">
                  <c:v>114</c:v>
                </c:pt>
                <c:pt idx="15">
                  <c:v>115</c:v>
                </c:pt>
                <c:pt idx="16">
                  <c:v>116</c:v>
                </c:pt>
                <c:pt idx="17">
                  <c:v>117</c:v>
                </c:pt>
                <c:pt idx="18">
                  <c:v>118</c:v>
                </c:pt>
                <c:pt idx="19">
                  <c:v>119</c:v>
                </c:pt>
                <c:pt idx="20">
                  <c:v>120</c:v>
                </c:pt>
                <c:pt idx="21">
                  <c:v>121</c:v>
                </c:pt>
                <c:pt idx="22">
                  <c:v>122</c:v>
                </c:pt>
                <c:pt idx="23">
                  <c:v>123</c:v>
                </c:pt>
                <c:pt idx="24">
                  <c:v>124</c:v>
                </c:pt>
                <c:pt idx="25">
                  <c:v>125</c:v>
                </c:pt>
                <c:pt idx="26">
                  <c:v>126</c:v>
                </c:pt>
                <c:pt idx="27">
                  <c:v>127</c:v>
                </c:pt>
                <c:pt idx="28">
                  <c:v>128</c:v>
                </c:pt>
                <c:pt idx="29">
                  <c:v>129</c:v>
                </c:pt>
              </c:numCache>
            </c:numRef>
          </c:cat>
          <c:val>
            <c:numRef>
              <c:f>'Aðalskjal gamalt'!$J$33:$J$62</c:f>
              <c:numCache>
                <c:formatCode>#,##0\ "kr"</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val>
          <c:extLst>
            <c:ext xmlns:c16="http://schemas.microsoft.com/office/drawing/2014/chart" uri="{C3380CC4-5D6E-409C-BE32-E72D297353CC}">
              <c16:uniqueId val="{00000003-7822-490D-9E7D-100FEC93699F}"/>
            </c:ext>
          </c:extLst>
        </c:ser>
        <c:dLbls>
          <c:showLegendKey val="0"/>
          <c:showVal val="0"/>
          <c:showCatName val="0"/>
          <c:showSerName val="0"/>
          <c:showPercent val="0"/>
          <c:showBubbleSize val="0"/>
        </c:dLbls>
        <c:gapWidth val="0"/>
        <c:overlap val="100"/>
        <c:axId val="868398328"/>
        <c:axId val="868400128"/>
      </c:barChart>
      <c:catAx>
        <c:axId val="868398328"/>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dk1"/>
                    </a:solidFill>
                    <a:latin typeface="+mn-lt"/>
                    <a:ea typeface="+mn-ea"/>
                    <a:cs typeface="+mn-cs"/>
                  </a:defRPr>
                </a:pPr>
                <a:r>
                  <a:rPr lang="is-IS" sz="1200"/>
                  <a:t>Aldur</a:t>
                </a:r>
              </a:p>
            </c:rich>
          </c:tx>
          <c:overlay val="0"/>
          <c:spPr>
            <a:noFill/>
            <a:ln>
              <a:noFill/>
            </a:ln>
            <a:effectLst/>
          </c:spPr>
          <c:txPr>
            <a:bodyPr rot="0" spcFirstLastPara="1" vertOverflow="ellipsis" vert="horz" wrap="square" anchor="ctr" anchorCtr="1"/>
            <a:lstStyle/>
            <a:p>
              <a:pPr>
                <a:defRPr sz="1200" b="0" i="0" u="none" strike="noStrike" kern="1200" baseline="0">
                  <a:solidFill>
                    <a:schemeClr val="dk1"/>
                  </a:solidFill>
                  <a:latin typeface="+mn-lt"/>
                  <a:ea typeface="+mn-ea"/>
                  <a:cs typeface="+mn-cs"/>
                </a:defRPr>
              </a:pPr>
              <a:endParaRPr lang="is-I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0" i="0" u="none" strike="noStrike" kern="1200" baseline="0">
                <a:solidFill>
                  <a:schemeClr val="dk1"/>
                </a:solidFill>
                <a:latin typeface="+mn-lt"/>
                <a:ea typeface="+mn-ea"/>
                <a:cs typeface="+mn-cs"/>
              </a:defRPr>
            </a:pPr>
            <a:endParaRPr lang="is-IS"/>
          </a:p>
        </c:txPr>
        <c:crossAx val="868400128"/>
        <c:crosses val="autoZero"/>
        <c:auto val="1"/>
        <c:lblAlgn val="ctr"/>
        <c:lblOffset val="100"/>
        <c:noMultiLvlLbl val="0"/>
      </c:catAx>
      <c:valAx>
        <c:axId val="868400128"/>
        <c:scaling>
          <c:orientation val="minMax"/>
        </c:scaling>
        <c:delete val="0"/>
        <c:axPos val="l"/>
        <c:majorGridlines>
          <c:spPr>
            <a:ln w="9525" cap="flat" cmpd="sng" algn="ctr">
              <a:solidFill>
                <a:schemeClr val="bg1"/>
              </a:solidFill>
              <a:round/>
            </a:ln>
            <a:effectLst/>
          </c:spPr>
        </c:majorGridlines>
        <c:numFmt formatCode="#,##0\ &quot;kr&quot;" sourceLinked="1"/>
        <c:majorTickMark val="none"/>
        <c:minorTickMark val="none"/>
        <c:tickLblPos val="nextTo"/>
        <c:spPr>
          <a:noFill/>
          <a:ln>
            <a:noFill/>
          </a:ln>
          <a:effectLst/>
        </c:spPr>
        <c:txPr>
          <a:bodyPr rot="-60000000" spcFirstLastPara="1" vertOverflow="ellipsis" vert="horz" wrap="square" anchor="ctr" anchorCtr="1"/>
          <a:lstStyle/>
          <a:p>
            <a:pPr>
              <a:defRPr sz="1050" b="0" i="0" u="none" strike="noStrike" kern="1200" baseline="0">
                <a:solidFill>
                  <a:schemeClr val="dk1"/>
                </a:solidFill>
                <a:latin typeface="+mn-lt"/>
                <a:ea typeface="+mn-ea"/>
                <a:cs typeface="+mn-cs"/>
              </a:defRPr>
            </a:pPr>
            <a:endParaRPr lang="is-IS"/>
          </a:p>
        </c:txPr>
        <c:crossAx val="868398328"/>
        <c:crosses val="autoZero"/>
        <c:crossBetween val="between"/>
      </c:valAx>
      <c:spPr>
        <a:noFill/>
        <a:ln>
          <a:noFill/>
        </a:ln>
        <a:effectLst/>
      </c:spPr>
    </c:plotArea>
    <c:legend>
      <c:legendPos val="t"/>
      <c:layout>
        <c:manualLayout>
          <c:xMode val="edge"/>
          <c:yMode val="edge"/>
          <c:x val="5.0000015328729198E-2"/>
          <c:y val="0.16106543968263326"/>
          <c:w val="0.93413988988671948"/>
          <c:h val="0.1203707332116269"/>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dk1"/>
              </a:solidFill>
              <a:latin typeface="+mn-lt"/>
              <a:ea typeface="+mn-ea"/>
              <a:cs typeface="+mn-cs"/>
            </a:defRPr>
          </a:pPr>
          <a:endParaRPr lang="is-IS"/>
        </a:p>
      </c:txPr>
    </c:legend>
    <c:plotVisOnly val="1"/>
    <c:dispBlanksAs val="gap"/>
    <c:showDLblsOverMax val="0"/>
  </c:chart>
  <c:spPr>
    <a:solidFill>
      <a:schemeClr val="lt1"/>
    </a:solidFill>
    <a:ln w="25400" cap="flat" cmpd="sng" algn="ctr">
      <a:solidFill>
        <a:schemeClr val="dk1"/>
      </a:solidFill>
      <a:prstDash val="solid"/>
      <a:round/>
    </a:ln>
    <a:effectLst/>
  </c:spPr>
  <c:txPr>
    <a:bodyPr/>
    <a:lstStyle/>
    <a:p>
      <a:pPr>
        <a:defRPr>
          <a:solidFill>
            <a:schemeClr val="dk1"/>
          </a:solidFill>
          <a:latin typeface="+mn-lt"/>
          <a:ea typeface="+mn-ea"/>
          <a:cs typeface="+mn-cs"/>
        </a:defRPr>
      </a:pPr>
      <a:endParaRPr lang="is-IS"/>
    </a:p>
  </c:txPr>
  <c:printSettings>
    <c:headerFooter/>
    <c:pageMargins b="0.75" l="0.7" r="0.7" t="0.75" header="0.3" footer="0.3"/>
    <c:pageSetup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1" i="0" u="none" strike="noStrike" kern="1200" spc="0" baseline="0">
                <a:solidFill>
                  <a:sysClr val="windowText" lastClr="000000"/>
                </a:solidFill>
                <a:latin typeface="+mn-lt"/>
                <a:ea typeface="+mn-ea"/>
                <a:cs typeface="+mn-cs"/>
              </a:defRPr>
            </a:pPr>
            <a:r>
              <a:rPr lang="is-IS" sz="1800" b="1" i="0" u="none" strike="noStrike" kern="1200" spc="0" baseline="0">
                <a:solidFill>
                  <a:sysClr val="windowText" lastClr="000000"/>
                </a:solidFill>
                <a:effectLst/>
              </a:rPr>
              <a:t>Útgreiðslur á mánuði </a:t>
            </a:r>
          </a:p>
          <a:p>
            <a:pPr>
              <a:defRPr sz="1600" b="1">
                <a:solidFill>
                  <a:sysClr val="windowText" lastClr="000000"/>
                </a:solidFill>
              </a:defRPr>
            </a:pPr>
            <a:r>
              <a:rPr lang="is-IS" sz="1400" b="0" i="0" u="none" strike="noStrike" kern="1200" spc="0" baseline="0">
                <a:solidFill>
                  <a:sysClr val="windowText" lastClr="000000"/>
                </a:solidFill>
                <a:effectLst/>
              </a:rPr>
              <a:t>- Ef </a:t>
            </a:r>
            <a:r>
              <a:rPr lang="is-IS" sz="1400" b="1" i="0" u="sng" strike="noStrike" kern="1200" spc="0" baseline="0">
                <a:solidFill>
                  <a:sysClr val="windowText" lastClr="000000"/>
                </a:solidFill>
                <a:effectLst/>
              </a:rPr>
              <a:t>engar</a:t>
            </a:r>
            <a:r>
              <a:rPr lang="is-IS" sz="1400" b="0" i="0" u="none" strike="noStrike" kern="1200" spc="0" baseline="0">
                <a:solidFill>
                  <a:sysClr val="windowText" lastClr="000000"/>
                </a:solidFill>
                <a:effectLst/>
              </a:rPr>
              <a:t> framtíðargreiðslur greiðast í Frjálsa</a:t>
            </a:r>
          </a:p>
        </c:rich>
      </c:tx>
      <c:overlay val="0"/>
      <c:spPr>
        <a:noFill/>
        <a:ln>
          <a:noFill/>
        </a:ln>
        <a:effectLst/>
      </c:spPr>
      <c:txPr>
        <a:bodyPr rot="0" spcFirstLastPara="1" vertOverflow="ellipsis" vert="horz" wrap="square" anchor="ctr" anchorCtr="1"/>
        <a:lstStyle/>
        <a:p>
          <a:pPr>
            <a:defRPr sz="1600" b="1" i="0" u="none" strike="noStrike" kern="1200" spc="0" baseline="0">
              <a:solidFill>
                <a:sysClr val="windowText" lastClr="000000"/>
              </a:solidFill>
              <a:latin typeface="+mn-lt"/>
              <a:ea typeface="+mn-ea"/>
              <a:cs typeface="+mn-cs"/>
            </a:defRPr>
          </a:pPr>
          <a:endParaRPr lang="is-IS"/>
        </a:p>
      </c:txPr>
    </c:title>
    <c:autoTitleDeleted val="0"/>
    <c:plotArea>
      <c:layout>
        <c:manualLayout>
          <c:layoutTarget val="inner"/>
          <c:xMode val="edge"/>
          <c:yMode val="edge"/>
          <c:x val="0.12182659648158024"/>
          <c:y val="0.32718059540409489"/>
          <c:w val="0.85862052473918937"/>
          <c:h val="0.51330977239240383"/>
        </c:manualLayout>
      </c:layout>
      <c:barChart>
        <c:barDir val="col"/>
        <c:grouping val="stacked"/>
        <c:varyColors val="0"/>
        <c:ser>
          <c:idx val="2"/>
          <c:order val="0"/>
          <c:tx>
            <c:strRef>
              <c:f>'Aðalskjal gamalt'!$N$32</c:f>
              <c:strCache>
                <c:ptCount val="1"/>
                <c:pt idx="0">
                  <c:v>Samtrygging Frjálsa leiðin 0 kr.</c:v>
                </c:pt>
              </c:strCache>
            </c:strRef>
          </c:tx>
          <c:spPr>
            <a:solidFill>
              <a:srgbClr val="FFCCA3"/>
            </a:solidFill>
            <a:ln>
              <a:solidFill>
                <a:schemeClr val="tx1"/>
              </a:solidFill>
            </a:ln>
            <a:effectLst/>
          </c:spPr>
          <c:invertIfNegative val="0"/>
          <c:cat>
            <c:numRef>
              <c:f>'Aðalskjal gamalt'!$M$33:$M$62</c:f>
              <c:numCache>
                <c:formatCode>General</c:formatCode>
                <c:ptCount val="30"/>
                <c:pt idx="0">
                  <c:v>100</c:v>
                </c:pt>
                <c:pt idx="1">
                  <c:v>101</c:v>
                </c:pt>
                <c:pt idx="2">
                  <c:v>102</c:v>
                </c:pt>
                <c:pt idx="3">
                  <c:v>103</c:v>
                </c:pt>
                <c:pt idx="4">
                  <c:v>104</c:v>
                </c:pt>
                <c:pt idx="5">
                  <c:v>105</c:v>
                </c:pt>
                <c:pt idx="6">
                  <c:v>106</c:v>
                </c:pt>
                <c:pt idx="7">
                  <c:v>107</c:v>
                </c:pt>
                <c:pt idx="8">
                  <c:v>108</c:v>
                </c:pt>
                <c:pt idx="9">
                  <c:v>109</c:v>
                </c:pt>
                <c:pt idx="10">
                  <c:v>110</c:v>
                </c:pt>
                <c:pt idx="11">
                  <c:v>111</c:v>
                </c:pt>
                <c:pt idx="12">
                  <c:v>112</c:v>
                </c:pt>
                <c:pt idx="13">
                  <c:v>113</c:v>
                </c:pt>
                <c:pt idx="14">
                  <c:v>114</c:v>
                </c:pt>
                <c:pt idx="15">
                  <c:v>115</c:v>
                </c:pt>
                <c:pt idx="16">
                  <c:v>116</c:v>
                </c:pt>
                <c:pt idx="17">
                  <c:v>117</c:v>
                </c:pt>
                <c:pt idx="18">
                  <c:v>118</c:v>
                </c:pt>
                <c:pt idx="19">
                  <c:v>119</c:v>
                </c:pt>
                <c:pt idx="20">
                  <c:v>120</c:v>
                </c:pt>
                <c:pt idx="21">
                  <c:v>121</c:v>
                </c:pt>
                <c:pt idx="22">
                  <c:v>122</c:v>
                </c:pt>
                <c:pt idx="23">
                  <c:v>123</c:v>
                </c:pt>
                <c:pt idx="24">
                  <c:v>124</c:v>
                </c:pt>
                <c:pt idx="25">
                  <c:v>125</c:v>
                </c:pt>
                <c:pt idx="26">
                  <c:v>126</c:v>
                </c:pt>
                <c:pt idx="27">
                  <c:v>127</c:v>
                </c:pt>
                <c:pt idx="28">
                  <c:v>128</c:v>
                </c:pt>
                <c:pt idx="29">
                  <c:v>129</c:v>
                </c:pt>
              </c:numCache>
            </c:numRef>
          </c:cat>
          <c:val>
            <c:numRef>
              <c:f>'Aðalskjal gamalt'!$N$33:$N$62</c:f>
              <c:numCache>
                <c:formatCode>#,##0\ "kr"</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val>
          <c:extLst>
            <c:ext xmlns:c16="http://schemas.microsoft.com/office/drawing/2014/chart" uri="{C3380CC4-5D6E-409C-BE32-E72D297353CC}">
              <c16:uniqueId val="{00000001-53F0-4F33-99E7-22B09AD8B791}"/>
            </c:ext>
          </c:extLst>
        </c:ser>
        <c:ser>
          <c:idx val="3"/>
          <c:order val="1"/>
          <c:tx>
            <c:strRef>
              <c:f>'Aðalskjal gamalt'!$O$32</c:f>
              <c:strCache>
                <c:ptCount val="1"/>
                <c:pt idx="0">
                  <c:v>Bundin séreign 0 kr.</c:v>
                </c:pt>
              </c:strCache>
            </c:strRef>
          </c:tx>
          <c:spPr>
            <a:solidFill>
              <a:srgbClr val="A1B6C0"/>
            </a:solidFill>
            <a:ln>
              <a:solidFill>
                <a:schemeClr val="tx1"/>
              </a:solidFill>
            </a:ln>
            <a:effectLst/>
          </c:spPr>
          <c:invertIfNegative val="0"/>
          <c:cat>
            <c:numRef>
              <c:f>'Aðalskjal gamalt'!$M$33:$M$62</c:f>
              <c:numCache>
                <c:formatCode>General</c:formatCode>
                <c:ptCount val="30"/>
                <c:pt idx="0">
                  <c:v>100</c:v>
                </c:pt>
                <c:pt idx="1">
                  <c:v>101</c:v>
                </c:pt>
                <c:pt idx="2">
                  <c:v>102</c:v>
                </c:pt>
                <c:pt idx="3">
                  <c:v>103</c:v>
                </c:pt>
                <c:pt idx="4">
                  <c:v>104</c:v>
                </c:pt>
                <c:pt idx="5">
                  <c:v>105</c:v>
                </c:pt>
                <c:pt idx="6">
                  <c:v>106</c:v>
                </c:pt>
                <c:pt idx="7">
                  <c:v>107</c:v>
                </c:pt>
                <c:pt idx="8">
                  <c:v>108</c:v>
                </c:pt>
                <c:pt idx="9">
                  <c:v>109</c:v>
                </c:pt>
                <c:pt idx="10">
                  <c:v>110</c:v>
                </c:pt>
                <c:pt idx="11">
                  <c:v>111</c:v>
                </c:pt>
                <c:pt idx="12">
                  <c:v>112</c:v>
                </c:pt>
                <c:pt idx="13">
                  <c:v>113</c:v>
                </c:pt>
                <c:pt idx="14">
                  <c:v>114</c:v>
                </c:pt>
                <c:pt idx="15">
                  <c:v>115</c:v>
                </c:pt>
                <c:pt idx="16">
                  <c:v>116</c:v>
                </c:pt>
                <c:pt idx="17">
                  <c:v>117</c:v>
                </c:pt>
                <c:pt idx="18">
                  <c:v>118</c:v>
                </c:pt>
                <c:pt idx="19">
                  <c:v>119</c:v>
                </c:pt>
                <c:pt idx="20">
                  <c:v>120</c:v>
                </c:pt>
                <c:pt idx="21">
                  <c:v>121</c:v>
                </c:pt>
                <c:pt idx="22">
                  <c:v>122</c:v>
                </c:pt>
                <c:pt idx="23">
                  <c:v>123</c:v>
                </c:pt>
                <c:pt idx="24">
                  <c:v>124</c:v>
                </c:pt>
                <c:pt idx="25">
                  <c:v>125</c:v>
                </c:pt>
                <c:pt idx="26">
                  <c:v>126</c:v>
                </c:pt>
                <c:pt idx="27">
                  <c:v>127</c:v>
                </c:pt>
                <c:pt idx="28">
                  <c:v>128</c:v>
                </c:pt>
                <c:pt idx="29">
                  <c:v>129</c:v>
                </c:pt>
              </c:numCache>
            </c:numRef>
          </c:cat>
          <c:val>
            <c:numRef>
              <c:f>'Aðalskjal gamalt'!$O$33:$O$62</c:f>
              <c:numCache>
                <c:formatCode>#,##0\ "kr"</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val>
          <c:extLst>
            <c:ext xmlns:c16="http://schemas.microsoft.com/office/drawing/2014/chart" uri="{C3380CC4-5D6E-409C-BE32-E72D297353CC}">
              <c16:uniqueId val="{00000002-53F0-4F33-99E7-22B09AD8B791}"/>
            </c:ext>
          </c:extLst>
        </c:ser>
        <c:ser>
          <c:idx val="4"/>
          <c:order val="2"/>
          <c:tx>
            <c:strRef>
              <c:f>'Aðalskjal gamalt'!$P$32</c:f>
              <c:strCache>
                <c:ptCount val="1"/>
                <c:pt idx="0">
                  <c:v>Frjáls séreign 0 kr.</c:v>
                </c:pt>
              </c:strCache>
            </c:strRef>
          </c:tx>
          <c:spPr>
            <a:solidFill>
              <a:srgbClr val="518EEE"/>
            </a:solidFill>
            <a:ln>
              <a:solidFill>
                <a:schemeClr val="tx1"/>
              </a:solidFill>
            </a:ln>
            <a:effectLst/>
          </c:spPr>
          <c:invertIfNegative val="0"/>
          <c:cat>
            <c:numRef>
              <c:f>'Aðalskjal gamalt'!$M$33:$M$62</c:f>
              <c:numCache>
                <c:formatCode>General</c:formatCode>
                <c:ptCount val="30"/>
                <c:pt idx="0">
                  <c:v>100</c:v>
                </c:pt>
                <c:pt idx="1">
                  <c:v>101</c:v>
                </c:pt>
                <c:pt idx="2">
                  <c:v>102</c:v>
                </c:pt>
                <c:pt idx="3">
                  <c:v>103</c:v>
                </c:pt>
                <c:pt idx="4">
                  <c:v>104</c:v>
                </c:pt>
                <c:pt idx="5">
                  <c:v>105</c:v>
                </c:pt>
                <c:pt idx="6">
                  <c:v>106</c:v>
                </c:pt>
                <c:pt idx="7">
                  <c:v>107</c:v>
                </c:pt>
                <c:pt idx="8">
                  <c:v>108</c:v>
                </c:pt>
                <c:pt idx="9">
                  <c:v>109</c:v>
                </c:pt>
                <c:pt idx="10">
                  <c:v>110</c:v>
                </c:pt>
                <c:pt idx="11">
                  <c:v>111</c:v>
                </c:pt>
                <c:pt idx="12">
                  <c:v>112</c:v>
                </c:pt>
                <c:pt idx="13">
                  <c:v>113</c:v>
                </c:pt>
                <c:pt idx="14">
                  <c:v>114</c:v>
                </c:pt>
                <c:pt idx="15">
                  <c:v>115</c:v>
                </c:pt>
                <c:pt idx="16">
                  <c:v>116</c:v>
                </c:pt>
                <c:pt idx="17">
                  <c:v>117</c:v>
                </c:pt>
                <c:pt idx="18">
                  <c:v>118</c:v>
                </c:pt>
                <c:pt idx="19">
                  <c:v>119</c:v>
                </c:pt>
                <c:pt idx="20">
                  <c:v>120</c:v>
                </c:pt>
                <c:pt idx="21">
                  <c:v>121</c:v>
                </c:pt>
                <c:pt idx="22">
                  <c:v>122</c:v>
                </c:pt>
                <c:pt idx="23">
                  <c:v>123</c:v>
                </c:pt>
                <c:pt idx="24">
                  <c:v>124</c:v>
                </c:pt>
                <c:pt idx="25">
                  <c:v>125</c:v>
                </c:pt>
                <c:pt idx="26">
                  <c:v>126</c:v>
                </c:pt>
                <c:pt idx="27">
                  <c:v>127</c:v>
                </c:pt>
                <c:pt idx="28">
                  <c:v>128</c:v>
                </c:pt>
                <c:pt idx="29">
                  <c:v>129</c:v>
                </c:pt>
              </c:numCache>
            </c:numRef>
          </c:cat>
          <c:val>
            <c:numRef>
              <c:f>'Aðalskjal gamalt'!$P$33:$P$62</c:f>
              <c:numCache>
                <c:formatCode>#,##0\ "kr"</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val>
          <c:extLst>
            <c:ext xmlns:c16="http://schemas.microsoft.com/office/drawing/2014/chart" uri="{C3380CC4-5D6E-409C-BE32-E72D297353CC}">
              <c16:uniqueId val="{00000003-53F0-4F33-99E7-22B09AD8B791}"/>
            </c:ext>
          </c:extLst>
        </c:ser>
        <c:ser>
          <c:idx val="1"/>
          <c:order val="3"/>
          <c:tx>
            <c:strRef>
              <c:f>'Aðalskjal gamalt'!$Q$32</c:f>
              <c:strCache>
                <c:ptCount val="1"/>
                <c:pt idx="0">
                  <c:v>Frjáls séreign úr viðbót 0 kr.</c:v>
                </c:pt>
              </c:strCache>
            </c:strRef>
          </c:tx>
          <c:spPr>
            <a:solidFill>
              <a:srgbClr val="EFEAD8"/>
            </a:solidFill>
            <a:ln>
              <a:solidFill>
                <a:schemeClr val="tx1"/>
              </a:solidFill>
            </a:ln>
            <a:effectLst/>
          </c:spPr>
          <c:invertIfNegative val="0"/>
          <c:cat>
            <c:numRef>
              <c:f>'Aðalskjal gamalt'!$M$33:$M$62</c:f>
              <c:numCache>
                <c:formatCode>General</c:formatCode>
                <c:ptCount val="30"/>
                <c:pt idx="0">
                  <c:v>100</c:v>
                </c:pt>
                <c:pt idx="1">
                  <c:v>101</c:v>
                </c:pt>
                <c:pt idx="2">
                  <c:v>102</c:v>
                </c:pt>
                <c:pt idx="3">
                  <c:v>103</c:v>
                </c:pt>
                <c:pt idx="4">
                  <c:v>104</c:v>
                </c:pt>
                <c:pt idx="5">
                  <c:v>105</c:v>
                </c:pt>
                <c:pt idx="6">
                  <c:v>106</c:v>
                </c:pt>
                <c:pt idx="7">
                  <c:v>107</c:v>
                </c:pt>
                <c:pt idx="8">
                  <c:v>108</c:v>
                </c:pt>
                <c:pt idx="9">
                  <c:v>109</c:v>
                </c:pt>
                <c:pt idx="10">
                  <c:v>110</c:v>
                </c:pt>
                <c:pt idx="11">
                  <c:v>111</c:v>
                </c:pt>
                <c:pt idx="12">
                  <c:v>112</c:v>
                </c:pt>
                <c:pt idx="13">
                  <c:v>113</c:v>
                </c:pt>
                <c:pt idx="14">
                  <c:v>114</c:v>
                </c:pt>
                <c:pt idx="15">
                  <c:v>115</c:v>
                </c:pt>
                <c:pt idx="16">
                  <c:v>116</c:v>
                </c:pt>
                <c:pt idx="17">
                  <c:v>117</c:v>
                </c:pt>
                <c:pt idx="18">
                  <c:v>118</c:v>
                </c:pt>
                <c:pt idx="19">
                  <c:v>119</c:v>
                </c:pt>
                <c:pt idx="20">
                  <c:v>120</c:v>
                </c:pt>
                <c:pt idx="21">
                  <c:v>121</c:v>
                </c:pt>
                <c:pt idx="22">
                  <c:v>122</c:v>
                </c:pt>
                <c:pt idx="23">
                  <c:v>123</c:v>
                </c:pt>
                <c:pt idx="24">
                  <c:v>124</c:v>
                </c:pt>
                <c:pt idx="25">
                  <c:v>125</c:v>
                </c:pt>
                <c:pt idx="26">
                  <c:v>126</c:v>
                </c:pt>
                <c:pt idx="27">
                  <c:v>127</c:v>
                </c:pt>
                <c:pt idx="28">
                  <c:v>128</c:v>
                </c:pt>
                <c:pt idx="29">
                  <c:v>129</c:v>
                </c:pt>
              </c:numCache>
            </c:numRef>
          </c:cat>
          <c:val>
            <c:numRef>
              <c:f>'Aðalskjal gamalt'!$Q$33:$Q$62</c:f>
              <c:numCache>
                <c:formatCode>#,##0\ "kr"</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val>
          <c:extLst>
            <c:ext xmlns:c16="http://schemas.microsoft.com/office/drawing/2014/chart" uri="{C3380CC4-5D6E-409C-BE32-E72D297353CC}">
              <c16:uniqueId val="{00000004-53F0-4F33-99E7-22B09AD8B791}"/>
            </c:ext>
          </c:extLst>
        </c:ser>
        <c:dLbls>
          <c:showLegendKey val="0"/>
          <c:showVal val="0"/>
          <c:showCatName val="0"/>
          <c:showSerName val="0"/>
          <c:showPercent val="0"/>
          <c:showBubbleSize val="0"/>
        </c:dLbls>
        <c:gapWidth val="0"/>
        <c:overlap val="100"/>
        <c:axId val="868398328"/>
        <c:axId val="868400128"/>
      </c:barChart>
      <c:catAx>
        <c:axId val="868398328"/>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dk1"/>
                    </a:solidFill>
                    <a:latin typeface="+mn-lt"/>
                    <a:ea typeface="+mn-ea"/>
                    <a:cs typeface="+mn-cs"/>
                  </a:defRPr>
                </a:pPr>
                <a:r>
                  <a:rPr lang="is-IS" sz="1200"/>
                  <a:t>Aldur</a:t>
                </a:r>
              </a:p>
            </c:rich>
          </c:tx>
          <c:overlay val="0"/>
          <c:spPr>
            <a:noFill/>
            <a:ln>
              <a:noFill/>
            </a:ln>
            <a:effectLst/>
          </c:spPr>
          <c:txPr>
            <a:bodyPr rot="0" spcFirstLastPara="1" vertOverflow="ellipsis" vert="horz" wrap="square" anchor="ctr" anchorCtr="1"/>
            <a:lstStyle/>
            <a:p>
              <a:pPr>
                <a:defRPr sz="1200" b="0" i="0" u="none" strike="noStrike" kern="1200" baseline="0">
                  <a:solidFill>
                    <a:schemeClr val="dk1"/>
                  </a:solidFill>
                  <a:latin typeface="+mn-lt"/>
                  <a:ea typeface="+mn-ea"/>
                  <a:cs typeface="+mn-cs"/>
                </a:defRPr>
              </a:pPr>
              <a:endParaRPr lang="is-I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vert="horz" wrap="square" anchor="ctr" anchorCtr="1"/>
          <a:lstStyle/>
          <a:p>
            <a:pPr>
              <a:defRPr sz="1050" b="0" i="0" u="none" strike="noStrike" kern="1200" baseline="0">
                <a:solidFill>
                  <a:schemeClr val="dk1"/>
                </a:solidFill>
                <a:latin typeface="+mn-lt"/>
                <a:ea typeface="+mn-ea"/>
                <a:cs typeface="+mn-cs"/>
              </a:defRPr>
            </a:pPr>
            <a:endParaRPr lang="is-IS"/>
          </a:p>
        </c:txPr>
        <c:crossAx val="868400128"/>
        <c:crosses val="autoZero"/>
        <c:auto val="1"/>
        <c:lblAlgn val="ctr"/>
        <c:lblOffset val="100"/>
        <c:noMultiLvlLbl val="0"/>
      </c:catAx>
      <c:valAx>
        <c:axId val="868400128"/>
        <c:scaling>
          <c:orientation val="minMax"/>
        </c:scaling>
        <c:delete val="0"/>
        <c:axPos val="l"/>
        <c:majorGridlines>
          <c:spPr>
            <a:ln w="9525" cap="flat" cmpd="sng" algn="ctr">
              <a:solidFill>
                <a:schemeClr val="bg1"/>
              </a:solidFill>
              <a:round/>
            </a:ln>
            <a:effectLst/>
          </c:spPr>
        </c:majorGridlines>
        <c:numFmt formatCode="#,##0\ &quot;kr&quot;" sourceLinked="1"/>
        <c:majorTickMark val="none"/>
        <c:minorTickMark val="none"/>
        <c:tickLblPos val="nextTo"/>
        <c:spPr>
          <a:noFill/>
          <a:ln>
            <a:noFill/>
          </a:ln>
          <a:effectLst/>
        </c:spPr>
        <c:txPr>
          <a:bodyPr rot="-60000000" spcFirstLastPara="1" vertOverflow="ellipsis" vert="horz" wrap="square" anchor="ctr" anchorCtr="1"/>
          <a:lstStyle/>
          <a:p>
            <a:pPr>
              <a:defRPr sz="1050" b="0" i="0" u="none" strike="noStrike" kern="1200" baseline="0">
                <a:solidFill>
                  <a:schemeClr val="dk1"/>
                </a:solidFill>
                <a:latin typeface="+mn-lt"/>
                <a:ea typeface="+mn-ea"/>
                <a:cs typeface="+mn-cs"/>
              </a:defRPr>
            </a:pPr>
            <a:endParaRPr lang="is-IS"/>
          </a:p>
        </c:txPr>
        <c:crossAx val="868398328"/>
        <c:crosses val="autoZero"/>
        <c:crossBetween val="between"/>
      </c:valAx>
      <c:spPr>
        <a:noFill/>
        <a:ln>
          <a:noFill/>
        </a:ln>
        <a:effectLst/>
      </c:spPr>
    </c:plotArea>
    <c:legend>
      <c:legendPos val="t"/>
      <c:layout>
        <c:manualLayout>
          <c:xMode val="edge"/>
          <c:yMode val="edge"/>
          <c:x val="9.6535664211439359E-2"/>
          <c:y val="0.15464501958772103"/>
          <c:w val="0.88103985476764257"/>
          <c:h val="0.14219013801048147"/>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dk1"/>
              </a:solidFill>
              <a:latin typeface="+mn-lt"/>
              <a:ea typeface="+mn-ea"/>
              <a:cs typeface="+mn-cs"/>
            </a:defRPr>
          </a:pPr>
          <a:endParaRPr lang="is-IS"/>
        </a:p>
      </c:txPr>
    </c:legend>
    <c:plotVisOnly val="1"/>
    <c:dispBlanksAs val="gap"/>
    <c:showDLblsOverMax val="0"/>
  </c:chart>
  <c:spPr>
    <a:solidFill>
      <a:schemeClr val="lt1"/>
    </a:solidFill>
    <a:ln w="25400" cap="flat" cmpd="sng" algn="ctr">
      <a:solidFill>
        <a:schemeClr val="dk1"/>
      </a:solidFill>
      <a:prstDash val="solid"/>
      <a:round/>
    </a:ln>
    <a:effectLst/>
  </c:spPr>
  <c:txPr>
    <a:bodyPr/>
    <a:lstStyle/>
    <a:p>
      <a:pPr>
        <a:defRPr>
          <a:solidFill>
            <a:schemeClr val="dk1"/>
          </a:solidFill>
          <a:latin typeface="+mn-lt"/>
          <a:ea typeface="+mn-ea"/>
          <a:cs typeface="+mn-cs"/>
        </a:defRPr>
      </a:pPr>
      <a:endParaRPr lang="is-IS"/>
    </a:p>
  </c:txPr>
  <c:printSettings>
    <c:headerFooter/>
    <c:pageMargins b="0.75" l="0.7" r="0.7" t="0.75" header="0.3" footer="0.3"/>
    <c:pageSetup orientation="landscape"/>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800" b="1" i="0" u="none" strike="noStrike" kern="1200" spc="0" baseline="0">
                <a:solidFill>
                  <a:sysClr val="windowText" lastClr="000000"/>
                </a:solidFill>
                <a:latin typeface="+mn-lt"/>
                <a:ea typeface="+mn-ea"/>
                <a:cs typeface="+mn-cs"/>
              </a:defRPr>
            </a:pPr>
            <a:r>
              <a:rPr lang="is-IS" sz="1800" b="1" i="0" u="none" strike="noStrike" kern="1200" spc="0" baseline="0">
                <a:solidFill>
                  <a:sysClr val="windowText" lastClr="000000"/>
                </a:solidFill>
                <a:effectLst/>
              </a:rPr>
              <a:t>Útgreiðslur á mánuði ef framtíðariðgjöld greiðast í Erfanlegu leiðina</a:t>
            </a:r>
            <a:endParaRPr lang="is-IS" sz="1800" b="1" strike="sngStrike" baseline="0">
              <a:solidFill>
                <a:sysClr val="windowText" lastClr="000000"/>
              </a:solidFill>
            </a:endParaRPr>
          </a:p>
        </c:rich>
      </c:tx>
      <c:overlay val="0"/>
      <c:spPr>
        <a:noFill/>
        <a:ln>
          <a:noFill/>
        </a:ln>
        <a:effectLst/>
      </c:spPr>
      <c:txPr>
        <a:bodyPr rot="0" spcFirstLastPara="1" vertOverflow="ellipsis" vert="horz" wrap="square" anchor="ctr" anchorCtr="1"/>
        <a:lstStyle/>
        <a:p>
          <a:pPr marL="0" marR="0" lvl="0" indent="0" algn="ctr" defTabSz="914400" rtl="0" eaLnBrk="1" fontAlgn="auto" latinLnBrk="0" hangingPunct="1">
            <a:lnSpc>
              <a:spcPct val="100000"/>
            </a:lnSpc>
            <a:spcBef>
              <a:spcPts val="0"/>
            </a:spcBef>
            <a:spcAft>
              <a:spcPts val="0"/>
            </a:spcAft>
            <a:buClrTx/>
            <a:buSzTx/>
            <a:buFontTx/>
            <a:buNone/>
            <a:tabLst/>
            <a:defRPr sz="1800" b="1" i="0" u="none" strike="noStrike" kern="1200" spc="0" baseline="0">
              <a:solidFill>
                <a:sysClr val="windowText" lastClr="000000"/>
              </a:solidFill>
              <a:latin typeface="+mn-lt"/>
              <a:ea typeface="+mn-ea"/>
              <a:cs typeface="+mn-cs"/>
            </a:defRPr>
          </a:pPr>
          <a:endParaRPr lang="is-IS"/>
        </a:p>
      </c:txPr>
    </c:title>
    <c:autoTitleDeleted val="0"/>
    <c:plotArea>
      <c:layout/>
      <c:barChart>
        <c:barDir val="col"/>
        <c:grouping val="stacked"/>
        <c:varyColors val="0"/>
        <c:ser>
          <c:idx val="1"/>
          <c:order val="0"/>
          <c:tx>
            <c:strRef>
              <c:f>'Aðalskjal gamalt'!$N$32</c:f>
              <c:strCache>
                <c:ptCount val="1"/>
                <c:pt idx="0">
                  <c:v>Samtrygging Frjálsa leiðin 0 kr.</c:v>
                </c:pt>
              </c:strCache>
            </c:strRef>
          </c:tx>
          <c:spPr>
            <a:solidFill>
              <a:srgbClr val="FFCCA3"/>
            </a:solidFill>
            <a:ln>
              <a:solidFill>
                <a:sysClr val="windowText" lastClr="000000"/>
              </a:solidFill>
            </a:ln>
            <a:effectLst/>
          </c:spPr>
          <c:invertIfNegative val="0"/>
          <c:cat>
            <c:numRef>
              <c:f>'Aðalskjal gamalt'!$M$33:$M$62</c:f>
              <c:numCache>
                <c:formatCode>General</c:formatCode>
                <c:ptCount val="30"/>
                <c:pt idx="0">
                  <c:v>100</c:v>
                </c:pt>
                <c:pt idx="1">
                  <c:v>101</c:v>
                </c:pt>
                <c:pt idx="2">
                  <c:v>102</c:v>
                </c:pt>
                <c:pt idx="3">
                  <c:v>103</c:v>
                </c:pt>
                <c:pt idx="4">
                  <c:v>104</c:v>
                </c:pt>
                <c:pt idx="5">
                  <c:v>105</c:v>
                </c:pt>
                <c:pt idx="6">
                  <c:v>106</c:v>
                </c:pt>
                <c:pt idx="7">
                  <c:v>107</c:v>
                </c:pt>
                <c:pt idx="8">
                  <c:v>108</c:v>
                </c:pt>
                <c:pt idx="9">
                  <c:v>109</c:v>
                </c:pt>
                <c:pt idx="10">
                  <c:v>110</c:v>
                </c:pt>
                <c:pt idx="11">
                  <c:v>111</c:v>
                </c:pt>
                <c:pt idx="12">
                  <c:v>112</c:v>
                </c:pt>
                <c:pt idx="13">
                  <c:v>113</c:v>
                </c:pt>
                <c:pt idx="14">
                  <c:v>114</c:v>
                </c:pt>
                <c:pt idx="15">
                  <c:v>115</c:v>
                </c:pt>
                <c:pt idx="16">
                  <c:v>116</c:v>
                </c:pt>
                <c:pt idx="17">
                  <c:v>117</c:v>
                </c:pt>
                <c:pt idx="18">
                  <c:v>118</c:v>
                </c:pt>
                <c:pt idx="19">
                  <c:v>119</c:v>
                </c:pt>
                <c:pt idx="20">
                  <c:v>120</c:v>
                </c:pt>
                <c:pt idx="21">
                  <c:v>121</c:v>
                </c:pt>
                <c:pt idx="22">
                  <c:v>122</c:v>
                </c:pt>
                <c:pt idx="23">
                  <c:v>123</c:v>
                </c:pt>
                <c:pt idx="24">
                  <c:v>124</c:v>
                </c:pt>
                <c:pt idx="25">
                  <c:v>125</c:v>
                </c:pt>
                <c:pt idx="26">
                  <c:v>126</c:v>
                </c:pt>
                <c:pt idx="27">
                  <c:v>127</c:v>
                </c:pt>
                <c:pt idx="28">
                  <c:v>128</c:v>
                </c:pt>
                <c:pt idx="29">
                  <c:v>129</c:v>
                </c:pt>
              </c:numCache>
            </c:numRef>
          </c:cat>
          <c:val>
            <c:numRef>
              <c:f>'Aðalskjal gamalt'!$N$33:$N$62</c:f>
              <c:numCache>
                <c:formatCode>#,##0\ "kr"</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val>
          <c:extLst>
            <c:ext xmlns:c16="http://schemas.microsoft.com/office/drawing/2014/chart" uri="{C3380CC4-5D6E-409C-BE32-E72D297353CC}">
              <c16:uniqueId val="{00000000-C292-4599-A58D-7AF7375AFEAA}"/>
            </c:ext>
          </c:extLst>
        </c:ser>
        <c:ser>
          <c:idx val="2"/>
          <c:order val="1"/>
          <c:tx>
            <c:strRef>
              <c:f>'Aðalskjal gamalt'!$O$32</c:f>
              <c:strCache>
                <c:ptCount val="1"/>
                <c:pt idx="0">
                  <c:v>Bundin séreign 0 kr.</c:v>
                </c:pt>
              </c:strCache>
            </c:strRef>
          </c:tx>
          <c:spPr>
            <a:solidFill>
              <a:srgbClr val="A1B6C0"/>
            </a:solidFill>
            <a:ln>
              <a:solidFill>
                <a:schemeClr val="tx1"/>
              </a:solidFill>
            </a:ln>
            <a:effectLst/>
          </c:spPr>
          <c:invertIfNegative val="0"/>
          <c:cat>
            <c:numRef>
              <c:f>'Aðalskjal gamalt'!$M$33:$M$62</c:f>
              <c:numCache>
                <c:formatCode>General</c:formatCode>
                <c:ptCount val="30"/>
                <c:pt idx="0">
                  <c:v>100</c:v>
                </c:pt>
                <c:pt idx="1">
                  <c:v>101</c:v>
                </c:pt>
                <c:pt idx="2">
                  <c:v>102</c:v>
                </c:pt>
                <c:pt idx="3">
                  <c:v>103</c:v>
                </c:pt>
                <c:pt idx="4">
                  <c:v>104</c:v>
                </c:pt>
                <c:pt idx="5">
                  <c:v>105</c:v>
                </c:pt>
                <c:pt idx="6">
                  <c:v>106</c:v>
                </c:pt>
                <c:pt idx="7">
                  <c:v>107</c:v>
                </c:pt>
                <c:pt idx="8">
                  <c:v>108</c:v>
                </c:pt>
                <c:pt idx="9">
                  <c:v>109</c:v>
                </c:pt>
                <c:pt idx="10">
                  <c:v>110</c:v>
                </c:pt>
                <c:pt idx="11">
                  <c:v>111</c:v>
                </c:pt>
                <c:pt idx="12">
                  <c:v>112</c:v>
                </c:pt>
                <c:pt idx="13">
                  <c:v>113</c:v>
                </c:pt>
                <c:pt idx="14">
                  <c:v>114</c:v>
                </c:pt>
                <c:pt idx="15">
                  <c:v>115</c:v>
                </c:pt>
                <c:pt idx="16">
                  <c:v>116</c:v>
                </c:pt>
                <c:pt idx="17">
                  <c:v>117</c:v>
                </c:pt>
                <c:pt idx="18">
                  <c:v>118</c:v>
                </c:pt>
                <c:pt idx="19">
                  <c:v>119</c:v>
                </c:pt>
                <c:pt idx="20">
                  <c:v>120</c:v>
                </c:pt>
                <c:pt idx="21">
                  <c:v>121</c:v>
                </c:pt>
                <c:pt idx="22">
                  <c:v>122</c:v>
                </c:pt>
                <c:pt idx="23">
                  <c:v>123</c:v>
                </c:pt>
                <c:pt idx="24">
                  <c:v>124</c:v>
                </c:pt>
                <c:pt idx="25">
                  <c:v>125</c:v>
                </c:pt>
                <c:pt idx="26">
                  <c:v>126</c:v>
                </c:pt>
                <c:pt idx="27">
                  <c:v>127</c:v>
                </c:pt>
                <c:pt idx="28">
                  <c:v>128</c:v>
                </c:pt>
                <c:pt idx="29">
                  <c:v>129</c:v>
                </c:pt>
              </c:numCache>
            </c:numRef>
          </c:cat>
          <c:val>
            <c:numRef>
              <c:f>'Aðalskjal gamalt'!$O$33:$O$62</c:f>
              <c:numCache>
                <c:formatCode>#,##0\ "kr"</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val>
          <c:extLst>
            <c:ext xmlns:c16="http://schemas.microsoft.com/office/drawing/2014/chart" uri="{C3380CC4-5D6E-409C-BE32-E72D297353CC}">
              <c16:uniqueId val="{00000002-C292-4599-A58D-7AF7375AFEAA}"/>
            </c:ext>
          </c:extLst>
        </c:ser>
        <c:ser>
          <c:idx val="3"/>
          <c:order val="2"/>
          <c:tx>
            <c:strRef>
              <c:f>'Aðalskjal gamalt'!$P$32</c:f>
              <c:strCache>
                <c:ptCount val="1"/>
                <c:pt idx="0">
                  <c:v>Frjáls séreign 0 kr.</c:v>
                </c:pt>
              </c:strCache>
            </c:strRef>
          </c:tx>
          <c:spPr>
            <a:solidFill>
              <a:srgbClr val="518EEE"/>
            </a:solidFill>
            <a:ln>
              <a:solidFill>
                <a:sysClr val="windowText" lastClr="000000"/>
              </a:solidFill>
            </a:ln>
            <a:effectLst/>
          </c:spPr>
          <c:invertIfNegative val="0"/>
          <c:cat>
            <c:numRef>
              <c:f>'Aðalskjal gamalt'!$M$33:$M$62</c:f>
              <c:numCache>
                <c:formatCode>General</c:formatCode>
                <c:ptCount val="30"/>
                <c:pt idx="0">
                  <c:v>100</c:v>
                </c:pt>
                <c:pt idx="1">
                  <c:v>101</c:v>
                </c:pt>
                <c:pt idx="2">
                  <c:v>102</c:v>
                </c:pt>
                <c:pt idx="3">
                  <c:v>103</c:v>
                </c:pt>
                <c:pt idx="4">
                  <c:v>104</c:v>
                </c:pt>
                <c:pt idx="5">
                  <c:v>105</c:v>
                </c:pt>
                <c:pt idx="6">
                  <c:v>106</c:v>
                </c:pt>
                <c:pt idx="7">
                  <c:v>107</c:v>
                </c:pt>
                <c:pt idx="8">
                  <c:v>108</c:v>
                </c:pt>
                <c:pt idx="9">
                  <c:v>109</c:v>
                </c:pt>
                <c:pt idx="10">
                  <c:v>110</c:v>
                </c:pt>
                <c:pt idx="11">
                  <c:v>111</c:v>
                </c:pt>
                <c:pt idx="12">
                  <c:v>112</c:v>
                </c:pt>
                <c:pt idx="13">
                  <c:v>113</c:v>
                </c:pt>
                <c:pt idx="14">
                  <c:v>114</c:v>
                </c:pt>
                <c:pt idx="15">
                  <c:v>115</c:v>
                </c:pt>
                <c:pt idx="16">
                  <c:v>116</c:v>
                </c:pt>
                <c:pt idx="17">
                  <c:v>117</c:v>
                </c:pt>
                <c:pt idx="18">
                  <c:v>118</c:v>
                </c:pt>
                <c:pt idx="19">
                  <c:v>119</c:v>
                </c:pt>
                <c:pt idx="20">
                  <c:v>120</c:v>
                </c:pt>
                <c:pt idx="21">
                  <c:v>121</c:v>
                </c:pt>
                <c:pt idx="22">
                  <c:v>122</c:v>
                </c:pt>
                <c:pt idx="23">
                  <c:v>123</c:v>
                </c:pt>
                <c:pt idx="24">
                  <c:v>124</c:v>
                </c:pt>
                <c:pt idx="25">
                  <c:v>125</c:v>
                </c:pt>
                <c:pt idx="26">
                  <c:v>126</c:v>
                </c:pt>
                <c:pt idx="27">
                  <c:v>127</c:v>
                </c:pt>
                <c:pt idx="28">
                  <c:v>128</c:v>
                </c:pt>
                <c:pt idx="29">
                  <c:v>129</c:v>
                </c:pt>
              </c:numCache>
            </c:numRef>
          </c:cat>
          <c:val>
            <c:numRef>
              <c:f>'Aðalskjal gamalt'!$P$33:$P$62</c:f>
              <c:numCache>
                <c:formatCode>#,##0\ "kr"</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val>
          <c:extLst>
            <c:ext xmlns:c16="http://schemas.microsoft.com/office/drawing/2014/chart" uri="{C3380CC4-5D6E-409C-BE32-E72D297353CC}">
              <c16:uniqueId val="{00000003-C292-4599-A58D-7AF7375AFEAA}"/>
            </c:ext>
          </c:extLst>
        </c:ser>
        <c:ser>
          <c:idx val="4"/>
          <c:order val="3"/>
          <c:tx>
            <c:strRef>
              <c:f>'Aðalskjal gamalt'!$Q$32</c:f>
              <c:strCache>
                <c:ptCount val="1"/>
                <c:pt idx="0">
                  <c:v>Frjáls séreign úr viðbót 0 kr.</c:v>
                </c:pt>
              </c:strCache>
            </c:strRef>
          </c:tx>
          <c:spPr>
            <a:solidFill>
              <a:srgbClr val="EFEAD8"/>
            </a:solidFill>
            <a:ln>
              <a:solidFill>
                <a:sysClr val="windowText" lastClr="000000"/>
              </a:solidFill>
            </a:ln>
            <a:effectLst/>
          </c:spPr>
          <c:invertIfNegative val="0"/>
          <c:cat>
            <c:numRef>
              <c:f>'Aðalskjal gamalt'!$M$33:$M$62</c:f>
              <c:numCache>
                <c:formatCode>General</c:formatCode>
                <c:ptCount val="30"/>
                <c:pt idx="0">
                  <c:v>100</c:v>
                </c:pt>
                <c:pt idx="1">
                  <c:v>101</c:v>
                </c:pt>
                <c:pt idx="2">
                  <c:v>102</c:v>
                </c:pt>
                <c:pt idx="3">
                  <c:v>103</c:v>
                </c:pt>
                <c:pt idx="4">
                  <c:v>104</c:v>
                </c:pt>
                <c:pt idx="5">
                  <c:v>105</c:v>
                </c:pt>
                <c:pt idx="6">
                  <c:v>106</c:v>
                </c:pt>
                <c:pt idx="7">
                  <c:v>107</c:v>
                </c:pt>
                <c:pt idx="8">
                  <c:v>108</c:v>
                </c:pt>
                <c:pt idx="9">
                  <c:v>109</c:v>
                </c:pt>
                <c:pt idx="10">
                  <c:v>110</c:v>
                </c:pt>
                <c:pt idx="11">
                  <c:v>111</c:v>
                </c:pt>
                <c:pt idx="12">
                  <c:v>112</c:v>
                </c:pt>
                <c:pt idx="13">
                  <c:v>113</c:v>
                </c:pt>
                <c:pt idx="14">
                  <c:v>114</c:v>
                </c:pt>
                <c:pt idx="15">
                  <c:v>115</c:v>
                </c:pt>
                <c:pt idx="16">
                  <c:v>116</c:v>
                </c:pt>
                <c:pt idx="17">
                  <c:v>117</c:v>
                </c:pt>
                <c:pt idx="18">
                  <c:v>118</c:v>
                </c:pt>
                <c:pt idx="19">
                  <c:v>119</c:v>
                </c:pt>
                <c:pt idx="20">
                  <c:v>120</c:v>
                </c:pt>
                <c:pt idx="21">
                  <c:v>121</c:v>
                </c:pt>
                <c:pt idx="22">
                  <c:v>122</c:v>
                </c:pt>
                <c:pt idx="23">
                  <c:v>123</c:v>
                </c:pt>
                <c:pt idx="24">
                  <c:v>124</c:v>
                </c:pt>
                <c:pt idx="25">
                  <c:v>125</c:v>
                </c:pt>
                <c:pt idx="26">
                  <c:v>126</c:v>
                </c:pt>
                <c:pt idx="27">
                  <c:v>127</c:v>
                </c:pt>
                <c:pt idx="28">
                  <c:v>128</c:v>
                </c:pt>
                <c:pt idx="29">
                  <c:v>129</c:v>
                </c:pt>
              </c:numCache>
            </c:numRef>
          </c:cat>
          <c:val>
            <c:numRef>
              <c:f>'Aðalskjal gamalt'!$Q$33:$Q$62</c:f>
              <c:numCache>
                <c:formatCode>#,##0\ "kr"</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val>
          <c:extLst>
            <c:ext xmlns:c16="http://schemas.microsoft.com/office/drawing/2014/chart" uri="{C3380CC4-5D6E-409C-BE32-E72D297353CC}">
              <c16:uniqueId val="{00000004-C292-4599-A58D-7AF7375AFEAA}"/>
            </c:ext>
          </c:extLst>
        </c:ser>
        <c:dLbls>
          <c:showLegendKey val="0"/>
          <c:showVal val="0"/>
          <c:showCatName val="0"/>
          <c:showSerName val="0"/>
          <c:showPercent val="0"/>
          <c:showBubbleSize val="0"/>
        </c:dLbls>
        <c:gapWidth val="0"/>
        <c:overlap val="100"/>
        <c:axId val="868398328"/>
        <c:axId val="868400128"/>
      </c:barChart>
      <c:catAx>
        <c:axId val="868398328"/>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dk1"/>
                    </a:solidFill>
                    <a:latin typeface="+mn-lt"/>
                    <a:ea typeface="+mn-ea"/>
                    <a:cs typeface="+mn-cs"/>
                  </a:defRPr>
                </a:pPr>
                <a:r>
                  <a:rPr lang="is-IS" sz="1200" b="0"/>
                  <a:t>Aldur</a:t>
                </a:r>
              </a:p>
            </c:rich>
          </c:tx>
          <c:overlay val="0"/>
          <c:spPr>
            <a:noFill/>
            <a:ln>
              <a:noFill/>
            </a:ln>
            <a:effectLst/>
          </c:spPr>
          <c:txPr>
            <a:bodyPr rot="0" spcFirstLastPara="1" vertOverflow="ellipsis" vert="horz" wrap="square" anchor="ctr" anchorCtr="1"/>
            <a:lstStyle/>
            <a:p>
              <a:pPr>
                <a:defRPr sz="1200" b="0" i="0" u="none" strike="noStrike" kern="1200" baseline="0">
                  <a:solidFill>
                    <a:schemeClr val="dk1"/>
                  </a:solidFill>
                  <a:latin typeface="+mn-lt"/>
                  <a:ea typeface="+mn-ea"/>
                  <a:cs typeface="+mn-cs"/>
                </a:defRPr>
              </a:pPr>
              <a:endParaRPr lang="is-I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dk1"/>
                </a:solidFill>
                <a:latin typeface="+mn-lt"/>
                <a:ea typeface="+mn-ea"/>
                <a:cs typeface="+mn-cs"/>
              </a:defRPr>
            </a:pPr>
            <a:endParaRPr lang="is-IS"/>
          </a:p>
        </c:txPr>
        <c:crossAx val="868400128"/>
        <c:crosses val="autoZero"/>
        <c:auto val="1"/>
        <c:lblAlgn val="ctr"/>
        <c:lblOffset val="100"/>
        <c:noMultiLvlLbl val="0"/>
      </c:catAx>
      <c:valAx>
        <c:axId val="868400128"/>
        <c:scaling>
          <c:orientation val="minMax"/>
        </c:scaling>
        <c:delete val="0"/>
        <c:axPos val="l"/>
        <c:majorGridlines>
          <c:spPr>
            <a:ln w="9525" cap="flat" cmpd="sng" algn="ctr">
              <a:solidFill>
                <a:schemeClr val="bg1"/>
              </a:solidFill>
              <a:round/>
            </a:ln>
            <a:effectLst/>
          </c:spPr>
        </c:majorGridlines>
        <c:numFmt formatCode="#,##0\ &quot;kr&quot;" sourceLinked="1"/>
        <c:majorTickMark val="none"/>
        <c:minorTickMark val="none"/>
        <c:tickLblPos val="nextTo"/>
        <c:spPr>
          <a:noFill/>
          <a:ln>
            <a:noFill/>
          </a:ln>
          <a:effectLst/>
        </c:spPr>
        <c:txPr>
          <a:bodyPr rot="-60000000" spcFirstLastPara="1" vertOverflow="ellipsis" vert="horz" wrap="square" anchor="ctr" anchorCtr="1"/>
          <a:lstStyle/>
          <a:p>
            <a:pPr>
              <a:defRPr sz="1100" b="0" i="0" u="none" strike="noStrike" kern="1200" baseline="0">
                <a:solidFill>
                  <a:schemeClr val="dk1"/>
                </a:solidFill>
                <a:latin typeface="+mn-lt"/>
                <a:ea typeface="+mn-ea"/>
                <a:cs typeface="+mn-cs"/>
              </a:defRPr>
            </a:pPr>
            <a:endParaRPr lang="is-IS"/>
          </a:p>
        </c:txPr>
        <c:crossAx val="868398328"/>
        <c:crosses val="autoZero"/>
        <c:crossBetween val="between"/>
      </c:valAx>
      <c:spPr>
        <a:noFill/>
        <a:ln>
          <a:noFill/>
        </a:ln>
        <a:effectLst/>
      </c:spPr>
    </c:plotArea>
    <c:legend>
      <c:legendPos val="t"/>
      <c:layout>
        <c:manualLayout>
          <c:xMode val="edge"/>
          <c:yMode val="edge"/>
          <c:x val="5.0240954782206811E-2"/>
          <c:y val="9.8224043861624158E-2"/>
          <c:w val="0.88678195166915785"/>
          <c:h val="0.11893581353260864"/>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dk1"/>
              </a:solidFill>
              <a:latin typeface="+mn-lt"/>
              <a:ea typeface="+mn-ea"/>
              <a:cs typeface="+mn-cs"/>
            </a:defRPr>
          </a:pPr>
          <a:endParaRPr lang="is-IS"/>
        </a:p>
      </c:txPr>
    </c:legend>
    <c:plotVisOnly val="1"/>
    <c:dispBlanksAs val="gap"/>
    <c:showDLblsOverMax val="0"/>
  </c:chart>
  <c:spPr>
    <a:solidFill>
      <a:schemeClr val="lt1"/>
    </a:solidFill>
    <a:ln w="25400" cap="flat" cmpd="sng" algn="ctr">
      <a:solidFill>
        <a:sysClr val="windowText" lastClr="000000"/>
      </a:solidFill>
      <a:prstDash val="solid"/>
      <a:round/>
    </a:ln>
    <a:effectLst/>
  </c:spPr>
  <c:txPr>
    <a:bodyPr/>
    <a:lstStyle/>
    <a:p>
      <a:pPr>
        <a:defRPr>
          <a:solidFill>
            <a:schemeClr val="dk1"/>
          </a:solidFill>
          <a:latin typeface="+mn-lt"/>
          <a:ea typeface="+mn-ea"/>
          <a:cs typeface="+mn-cs"/>
        </a:defRPr>
      </a:pPr>
      <a:endParaRPr lang="is-IS"/>
    </a:p>
  </c:txPr>
  <c:printSettings>
    <c:headerFooter/>
    <c:pageMargins b="0.75" l="0.7" r="0.7" t="0.75" header="0.3" footer="0.3"/>
    <c:pageSetup orientation="portrait"/>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is-IS" sz="1800" b="1">
                <a:solidFill>
                  <a:sysClr val="windowText" lastClr="000000"/>
                </a:solidFill>
                <a:effectLst/>
              </a:rPr>
              <a:t>Útgreiðslur á mánuði ef framtíðariðgjöld greiðast í Frjálsu leiðina</a:t>
            </a:r>
            <a:endParaRPr lang="is-IS" sz="1800">
              <a:solidFill>
                <a:sysClr val="windowText" lastClr="000000"/>
              </a:solidFill>
              <a:effectLst/>
            </a:endParaRP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is-IS"/>
        </a:p>
      </c:txPr>
    </c:title>
    <c:autoTitleDeleted val="0"/>
    <c:plotArea>
      <c:layout/>
      <c:barChart>
        <c:barDir val="col"/>
        <c:grouping val="stacked"/>
        <c:varyColors val="0"/>
        <c:ser>
          <c:idx val="0"/>
          <c:order val="0"/>
          <c:tx>
            <c:strRef>
              <c:f>'Aðalskjal gamalt'!$G$32</c:f>
              <c:strCache>
                <c:ptCount val="1"/>
                <c:pt idx="0">
                  <c:v>Samtrygging Frjálsa leiðin 0 kr.</c:v>
                </c:pt>
              </c:strCache>
            </c:strRef>
          </c:tx>
          <c:spPr>
            <a:solidFill>
              <a:srgbClr val="FFCCA3"/>
            </a:solidFill>
            <a:ln>
              <a:solidFill>
                <a:sysClr val="windowText" lastClr="000000"/>
              </a:solidFill>
            </a:ln>
            <a:effectLst/>
          </c:spPr>
          <c:invertIfNegative val="0"/>
          <c:cat>
            <c:numRef>
              <c:f>'Aðalskjal gamalt'!$F$33:$F$62</c:f>
              <c:numCache>
                <c:formatCode>General</c:formatCode>
                <c:ptCount val="30"/>
                <c:pt idx="0">
                  <c:v>100</c:v>
                </c:pt>
                <c:pt idx="1">
                  <c:v>101</c:v>
                </c:pt>
                <c:pt idx="2">
                  <c:v>102</c:v>
                </c:pt>
                <c:pt idx="3">
                  <c:v>103</c:v>
                </c:pt>
                <c:pt idx="4">
                  <c:v>104</c:v>
                </c:pt>
                <c:pt idx="5">
                  <c:v>105</c:v>
                </c:pt>
                <c:pt idx="6">
                  <c:v>106</c:v>
                </c:pt>
                <c:pt idx="7">
                  <c:v>107</c:v>
                </c:pt>
                <c:pt idx="8">
                  <c:v>108</c:v>
                </c:pt>
                <c:pt idx="9">
                  <c:v>109</c:v>
                </c:pt>
                <c:pt idx="10">
                  <c:v>110</c:v>
                </c:pt>
                <c:pt idx="11">
                  <c:v>111</c:v>
                </c:pt>
                <c:pt idx="12">
                  <c:v>112</c:v>
                </c:pt>
                <c:pt idx="13">
                  <c:v>113</c:v>
                </c:pt>
                <c:pt idx="14">
                  <c:v>114</c:v>
                </c:pt>
                <c:pt idx="15">
                  <c:v>115</c:v>
                </c:pt>
                <c:pt idx="16">
                  <c:v>116</c:v>
                </c:pt>
                <c:pt idx="17">
                  <c:v>117</c:v>
                </c:pt>
                <c:pt idx="18">
                  <c:v>118</c:v>
                </c:pt>
                <c:pt idx="19">
                  <c:v>119</c:v>
                </c:pt>
                <c:pt idx="20">
                  <c:v>120</c:v>
                </c:pt>
                <c:pt idx="21">
                  <c:v>121</c:v>
                </c:pt>
                <c:pt idx="22">
                  <c:v>122</c:v>
                </c:pt>
                <c:pt idx="23">
                  <c:v>123</c:v>
                </c:pt>
                <c:pt idx="24">
                  <c:v>124</c:v>
                </c:pt>
                <c:pt idx="25">
                  <c:v>125</c:v>
                </c:pt>
                <c:pt idx="26">
                  <c:v>126</c:v>
                </c:pt>
                <c:pt idx="27">
                  <c:v>127</c:v>
                </c:pt>
                <c:pt idx="28">
                  <c:v>128</c:v>
                </c:pt>
                <c:pt idx="29">
                  <c:v>129</c:v>
                </c:pt>
              </c:numCache>
            </c:numRef>
          </c:cat>
          <c:val>
            <c:numRef>
              <c:f>'Aðalskjal gamalt'!$G$33:$G$62</c:f>
              <c:numCache>
                <c:formatCode>#,##0\ "kr"</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val>
          <c:extLst>
            <c:ext xmlns:c16="http://schemas.microsoft.com/office/drawing/2014/chart" uri="{C3380CC4-5D6E-409C-BE32-E72D297353CC}">
              <c16:uniqueId val="{00000000-F711-4680-9A0A-2891689DDF5F}"/>
            </c:ext>
          </c:extLst>
        </c:ser>
        <c:ser>
          <c:idx val="2"/>
          <c:order val="1"/>
          <c:tx>
            <c:strRef>
              <c:f>'Aðalskjal gamalt'!$H$32</c:f>
              <c:strCache>
                <c:ptCount val="1"/>
                <c:pt idx="0">
                  <c:v>Bundin séreign 0 kr.</c:v>
                </c:pt>
              </c:strCache>
            </c:strRef>
          </c:tx>
          <c:spPr>
            <a:solidFill>
              <a:srgbClr val="A1B6C0"/>
            </a:solidFill>
            <a:ln>
              <a:solidFill>
                <a:schemeClr val="tx1"/>
              </a:solidFill>
            </a:ln>
            <a:effectLst/>
          </c:spPr>
          <c:invertIfNegative val="0"/>
          <c:cat>
            <c:numRef>
              <c:f>'Aðalskjal gamalt'!$F$33:$F$62</c:f>
              <c:numCache>
                <c:formatCode>General</c:formatCode>
                <c:ptCount val="30"/>
                <c:pt idx="0">
                  <c:v>100</c:v>
                </c:pt>
                <c:pt idx="1">
                  <c:v>101</c:v>
                </c:pt>
                <c:pt idx="2">
                  <c:v>102</c:v>
                </c:pt>
                <c:pt idx="3">
                  <c:v>103</c:v>
                </c:pt>
                <c:pt idx="4">
                  <c:v>104</c:v>
                </c:pt>
                <c:pt idx="5">
                  <c:v>105</c:v>
                </c:pt>
                <c:pt idx="6">
                  <c:v>106</c:v>
                </c:pt>
                <c:pt idx="7">
                  <c:v>107</c:v>
                </c:pt>
                <c:pt idx="8">
                  <c:v>108</c:v>
                </c:pt>
                <c:pt idx="9">
                  <c:v>109</c:v>
                </c:pt>
                <c:pt idx="10">
                  <c:v>110</c:v>
                </c:pt>
                <c:pt idx="11">
                  <c:v>111</c:v>
                </c:pt>
                <c:pt idx="12">
                  <c:v>112</c:v>
                </c:pt>
                <c:pt idx="13">
                  <c:v>113</c:v>
                </c:pt>
                <c:pt idx="14">
                  <c:v>114</c:v>
                </c:pt>
                <c:pt idx="15">
                  <c:v>115</c:v>
                </c:pt>
                <c:pt idx="16">
                  <c:v>116</c:v>
                </c:pt>
                <c:pt idx="17">
                  <c:v>117</c:v>
                </c:pt>
                <c:pt idx="18">
                  <c:v>118</c:v>
                </c:pt>
                <c:pt idx="19">
                  <c:v>119</c:v>
                </c:pt>
                <c:pt idx="20">
                  <c:v>120</c:v>
                </c:pt>
                <c:pt idx="21">
                  <c:v>121</c:v>
                </c:pt>
                <c:pt idx="22">
                  <c:v>122</c:v>
                </c:pt>
                <c:pt idx="23">
                  <c:v>123</c:v>
                </c:pt>
                <c:pt idx="24">
                  <c:v>124</c:v>
                </c:pt>
                <c:pt idx="25">
                  <c:v>125</c:v>
                </c:pt>
                <c:pt idx="26">
                  <c:v>126</c:v>
                </c:pt>
                <c:pt idx="27">
                  <c:v>127</c:v>
                </c:pt>
                <c:pt idx="28">
                  <c:v>128</c:v>
                </c:pt>
                <c:pt idx="29">
                  <c:v>129</c:v>
                </c:pt>
              </c:numCache>
            </c:numRef>
          </c:cat>
          <c:val>
            <c:numRef>
              <c:f>'Aðalskjal gamalt'!$H$33:$H$62</c:f>
              <c:numCache>
                <c:formatCode>#,##0\ "kr"</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val>
          <c:extLst>
            <c:ext xmlns:c16="http://schemas.microsoft.com/office/drawing/2014/chart" uri="{C3380CC4-5D6E-409C-BE32-E72D297353CC}">
              <c16:uniqueId val="{00000002-F711-4680-9A0A-2891689DDF5F}"/>
            </c:ext>
          </c:extLst>
        </c:ser>
        <c:ser>
          <c:idx val="3"/>
          <c:order val="2"/>
          <c:tx>
            <c:strRef>
              <c:f>'Aðalskjal gamalt'!$I$32</c:f>
              <c:strCache>
                <c:ptCount val="1"/>
                <c:pt idx="0">
                  <c:v>Frjáls séreign 0 kr.</c:v>
                </c:pt>
              </c:strCache>
            </c:strRef>
          </c:tx>
          <c:spPr>
            <a:solidFill>
              <a:srgbClr val="518EEE"/>
            </a:solidFill>
            <a:ln>
              <a:solidFill>
                <a:schemeClr val="tx2">
                  <a:lumMod val="50000"/>
                </a:schemeClr>
              </a:solidFill>
            </a:ln>
            <a:effectLst/>
          </c:spPr>
          <c:invertIfNegative val="0"/>
          <c:cat>
            <c:numRef>
              <c:f>'Aðalskjal gamalt'!$F$33:$F$62</c:f>
              <c:numCache>
                <c:formatCode>General</c:formatCode>
                <c:ptCount val="30"/>
                <c:pt idx="0">
                  <c:v>100</c:v>
                </c:pt>
                <c:pt idx="1">
                  <c:v>101</c:v>
                </c:pt>
                <c:pt idx="2">
                  <c:v>102</c:v>
                </c:pt>
                <c:pt idx="3">
                  <c:v>103</c:v>
                </c:pt>
                <c:pt idx="4">
                  <c:v>104</c:v>
                </c:pt>
                <c:pt idx="5">
                  <c:v>105</c:v>
                </c:pt>
                <c:pt idx="6">
                  <c:v>106</c:v>
                </c:pt>
                <c:pt idx="7">
                  <c:v>107</c:v>
                </c:pt>
                <c:pt idx="8">
                  <c:v>108</c:v>
                </c:pt>
                <c:pt idx="9">
                  <c:v>109</c:v>
                </c:pt>
                <c:pt idx="10">
                  <c:v>110</c:v>
                </c:pt>
                <c:pt idx="11">
                  <c:v>111</c:v>
                </c:pt>
                <c:pt idx="12">
                  <c:v>112</c:v>
                </c:pt>
                <c:pt idx="13">
                  <c:v>113</c:v>
                </c:pt>
                <c:pt idx="14">
                  <c:v>114</c:v>
                </c:pt>
                <c:pt idx="15">
                  <c:v>115</c:v>
                </c:pt>
                <c:pt idx="16">
                  <c:v>116</c:v>
                </c:pt>
                <c:pt idx="17">
                  <c:v>117</c:v>
                </c:pt>
                <c:pt idx="18">
                  <c:v>118</c:v>
                </c:pt>
                <c:pt idx="19">
                  <c:v>119</c:v>
                </c:pt>
                <c:pt idx="20">
                  <c:v>120</c:v>
                </c:pt>
                <c:pt idx="21">
                  <c:v>121</c:v>
                </c:pt>
                <c:pt idx="22">
                  <c:v>122</c:v>
                </c:pt>
                <c:pt idx="23">
                  <c:v>123</c:v>
                </c:pt>
                <c:pt idx="24">
                  <c:v>124</c:v>
                </c:pt>
                <c:pt idx="25">
                  <c:v>125</c:v>
                </c:pt>
                <c:pt idx="26">
                  <c:v>126</c:v>
                </c:pt>
                <c:pt idx="27">
                  <c:v>127</c:v>
                </c:pt>
                <c:pt idx="28">
                  <c:v>128</c:v>
                </c:pt>
                <c:pt idx="29">
                  <c:v>129</c:v>
                </c:pt>
              </c:numCache>
            </c:numRef>
          </c:cat>
          <c:val>
            <c:numRef>
              <c:f>'Aðalskjal gamalt'!$I$33:$I$62</c:f>
              <c:numCache>
                <c:formatCode>#,##0\ "kr"</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val>
          <c:extLst>
            <c:ext xmlns:c16="http://schemas.microsoft.com/office/drawing/2014/chart" uri="{C3380CC4-5D6E-409C-BE32-E72D297353CC}">
              <c16:uniqueId val="{00000003-F711-4680-9A0A-2891689DDF5F}"/>
            </c:ext>
          </c:extLst>
        </c:ser>
        <c:ser>
          <c:idx val="4"/>
          <c:order val="3"/>
          <c:tx>
            <c:strRef>
              <c:f>'Aðalskjal gamalt'!$J$32</c:f>
              <c:strCache>
                <c:ptCount val="1"/>
                <c:pt idx="0">
                  <c:v>Viðbótarsparnaður 0 kr.</c:v>
                </c:pt>
              </c:strCache>
            </c:strRef>
          </c:tx>
          <c:spPr>
            <a:solidFill>
              <a:srgbClr val="EFEAD8"/>
            </a:solidFill>
            <a:ln>
              <a:solidFill>
                <a:sysClr val="windowText" lastClr="000000"/>
              </a:solidFill>
            </a:ln>
            <a:effectLst/>
          </c:spPr>
          <c:invertIfNegative val="0"/>
          <c:cat>
            <c:numRef>
              <c:f>'Aðalskjal gamalt'!$F$33:$F$62</c:f>
              <c:numCache>
                <c:formatCode>General</c:formatCode>
                <c:ptCount val="30"/>
                <c:pt idx="0">
                  <c:v>100</c:v>
                </c:pt>
                <c:pt idx="1">
                  <c:v>101</c:v>
                </c:pt>
                <c:pt idx="2">
                  <c:v>102</c:v>
                </c:pt>
                <c:pt idx="3">
                  <c:v>103</c:v>
                </c:pt>
                <c:pt idx="4">
                  <c:v>104</c:v>
                </c:pt>
                <c:pt idx="5">
                  <c:v>105</c:v>
                </c:pt>
                <c:pt idx="6">
                  <c:v>106</c:v>
                </c:pt>
                <c:pt idx="7">
                  <c:v>107</c:v>
                </c:pt>
                <c:pt idx="8">
                  <c:v>108</c:v>
                </c:pt>
                <c:pt idx="9">
                  <c:v>109</c:v>
                </c:pt>
                <c:pt idx="10">
                  <c:v>110</c:v>
                </c:pt>
                <c:pt idx="11">
                  <c:v>111</c:v>
                </c:pt>
                <c:pt idx="12">
                  <c:v>112</c:v>
                </c:pt>
                <c:pt idx="13">
                  <c:v>113</c:v>
                </c:pt>
                <c:pt idx="14">
                  <c:v>114</c:v>
                </c:pt>
                <c:pt idx="15">
                  <c:v>115</c:v>
                </c:pt>
                <c:pt idx="16">
                  <c:v>116</c:v>
                </c:pt>
                <c:pt idx="17">
                  <c:v>117</c:v>
                </c:pt>
                <c:pt idx="18">
                  <c:v>118</c:v>
                </c:pt>
                <c:pt idx="19">
                  <c:v>119</c:v>
                </c:pt>
                <c:pt idx="20">
                  <c:v>120</c:v>
                </c:pt>
                <c:pt idx="21">
                  <c:v>121</c:v>
                </c:pt>
                <c:pt idx="22">
                  <c:v>122</c:v>
                </c:pt>
                <c:pt idx="23">
                  <c:v>123</c:v>
                </c:pt>
                <c:pt idx="24">
                  <c:v>124</c:v>
                </c:pt>
                <c:pt idx="25">
                  <c:v>125</c:v>
                </c:pt>
                <c:pt idx="26">
                  <c:v>126</c:v>
                </c:pt>
                <c:pt idx="27">
                  <c:v>127</c:v>
                </c:pt>
                <c:pt idx="28">
                  <c:v>128</c:v>
                </c:pt>
                <c:pt idx="29">
                  <c:v>129</c:v>
                </c:pt>
              </c:numCache>
            </c:numRef>
          </c:cat>
          <c:val>
            <c:numRef>
              <c:f>'Aðalskjal gamalt'!$J$33:$J$62</c:f>
              <c:numCache>
                <c:formatCode>#,##0\ "kr"</c:formatCode>
                <c:ptCount val="30"/>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numCache>
            </c:numRef>
          </c:val>
          <c:extLst>
            <c:ext xmlns:c16="http://schemas.microsoft.com/office/drawing/2014/chart" uri="{C3380CC4-5D6E-409C-BE32-E72D297353CC}">
              <c16:uniqueId val="{00000004-F711-4680-9A0A-2891689DDF5F}"/>
            </c:ext>
          </c:extLst>
        </c:ser>
        <c:dLbls>
          <c:showLegendKey val="0"/>
          <c:showVal val="0"/>
          <c:showCatName val="0"/>
          <c:showSerName val="0"/>
          <c:showPercent val="0"/>
          <c:showBubbleSize val="0"/>
        </c:dLbls>
        <c:gapWidth val="0"/>
        <c:overlap val="100"/>
        <c:axId val="868398328"/>
        <c:axId val="868400128"/>
      </c:barChart>
      <c:catAx>
        <c:axId val="868398328"/>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dk1"/>
                    </a:solidFill>
                    <a:latin typeface="+mn-lt"/>
                    <a:ea typeface="+mn-ea"/>
                    <a:cs typeface="+mn-cs"/>
                  </a:defRPr>
                </a:pPr>
                <a:r>
                  <a:rPr lang="is-IS" sz="1200"/>
                  <a:t>Aldur</a:t>
                </a:r>
              </a:p>
            </c:rich>
          </c:tx>
          <c:overlay val="0"/>
          <c:spPr>
            <a:noFill/>
            <a:ln>
              <a:noFill/>
            </a:ln>
            <a:effectLst/>
          </c:spPr>
          <c:txPr>
            <a:bodyPr rot="0" spcFirstLastPara="1" vertOverflow="ellipsis" vert="horz" wrap="square" anchor="ctr" anchorCtr="1"/>
            <a:lstStyle/>
            <a:p>
              <a:pPr>
                <a:defRPr sz="1200" b="0" i="0" u="none" strike="noStrike" kern="1200" baseline="0">
                  <a:solidFill>
                    <a:schemeClr val="dk1"/>
                  </a:solidFill>
                  <a:latin typeface="+mn-lt"/>
                  <a:ea typeface="+mn-ea"/>
                  <a:cs typeface="+mn-cs"/>
                </a:defRPr>
              </a:pPr>
              <a:endParaRPr lang="is-I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0" i="0" u="none" strike="noStrike" kern="1200" baseline="0">
                <a:solidFill>
                  <a:schemeClr val="dk1"/>
                </a:solidFill>
                <a:latin typeface="+mn-lt"/>
                <a:ea typeface="+mn-ea"/>
                <a:cs typeface="+mn-cs"/>
              </a:defRPr>
            </a:pPr>
            <a:endParaRPr lang="is-IS"/>
          </a:p>
        </c:txPr>
        <c:crossAx val="868400128"/>
        <c:crosses val="autoZero"/>
        <c:auto val="1"/>
        <c:lblAlgn val="ctr"/>
        <c:lblOffset val="100"/>
        <c:noMultiLvlLbl val="0"/>
      </c:catAx>
      <c:valAx>
        <c:axId val="868400128"/>
        <c:scaling>
          <c:orientation val="minMax"/>
        </c:scaling>
        <c:delete val="0"/>
        <c:axPos val="l"/>
        <c:majorGridlines>
          <c:spPr>
            <a:ln w="9525" cap="flat" cmpd="sng" algn="ctr">
              <a:solidFill>
                <a:schemeClr val="bg1"/>
              </a:solidFill>
              <a:round/>
            </a:ln>
            <a:effectLst/>
          </c:spPr>
        </c:majorGridlines>
        <c:numFmt formatCode="#,##0\ &quot;kr&quot;" sourceLinked="1"/>
        <c:majorTickMark val="none"/>
        <c:minorTickMark val="none"/>
        <c:tickLblPos val="nextTo"/>
        <c:spPr>
          <a:noFill/>
          <a:ln>
            <a:noFill/>
          </a:ln>
          <a:effectLst/>
        </c:spPr>
        <c:txPr>
          <a:bodyPr rot="-60000000" spcFirstLastPara="1" vertOverflow="ellipsis" vert="horz" wrap="square" anchor="ctr" anchorCtr="1"/>
          <a:lstStyle/>
          <a:p>
            <a:pPr>
              <a:defRPr sz="1050" b="0" i="0" u="none" strike="noStrike" kern="1200" baseline="0">
                <a:solidFill>
                  <a:schemeClr val="dk1"/>
                </a:solidFill>
                <a:latin typeface="+mn-lt"/>
                <a:ea typeface="+mn-ea"/>
                <a:cs typeface="+mn-cs"/>
              </a:defRPr>
            </a:pPr>
            <a:endParaRPr lang="is-IS"/>
          </a:p>
        </c:txPr>
        <c:crossAx val="868398328"/>
        <c:crosses val="autoZero"/>
        <c:crossBetween val="between"/>
      </c:valAx>
      <c:spPr>
        <a:noFill/>
        <a:ln>
          <a:noFill/>
        </a:ln>
        <a:effectLst/>
      </c:spPr>
    </c:plotArea>
    <c:legend>
      <c:legendPos val="t"/>
      <c:layout>
        <c:manualLayout>
          <c:xMode val="edge"/>
          <c:yMode val="edge"/>
          <c:x val="5.0000029573217072E-2"/>
          <c:y val="0.10000805034318315"/>
          <c:w val="0.85743422374346856"/>
          <c:h val="0.1203707332116269"/>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dk1"/>
              </a:solidFill>
              <a:latin typeface="+mn-lt"/>
              <a:ea typeface="+mn-ea"/>
              <a:cs typeface="+mn-cs"/>
            </a:defRPr>
          </a:pPr>
          <a:endParaRPr lang="is-IS"/>
        </a:p>
      </c:txPr>
    </c:legend>
    <c:plotVisOnly val="1"/>
    <c:dispBlanksAs val="gap"/>
    <c:showDLblsOverMax val="0"/>
  </c:chart>
  <c:spPr>
    <a:solidFill>
      <a:schemeClr val="lt1"/>
    </a:solidFill>
    <a:ln w="25400" cap="flat" cmpd="sng" algn="ctr">
      <a:solidFill>
        <a:schemeClr val="dk1"/>
      </a:solidFill>
      <a:prstDash val="solid"/>
      <a:round/>
    </a:ln>
    <a:effectLst/>
  </c:spPr>
  <c:txPr>
    <a:bodyPr/>
    <a:lstStyle/>
    <a:p>
      <a:pPr>
        <a:defRPr>
          <a:solidFill>
            <a:schemeClr val="dk1"/>
          </a:solidFill>
          <a:latin typeface="+mn-lt"/>
          <a:ea typeface="+mn-ea"/>
          <a:cs typeface="+mn-cs"/>
        </a:defRPr>
      </a:pPr>
      <a:endParaRPr lang="is-IS"/>
    </a:p>
  </c:txPr>
  <c:printSettings>
    <c:headerFooter/>
    <c:pageMargins b="0.75" l="0.7" r="0.7" t="0.75" header="0.3" footer="0.3"/>
    <c:pageSetup orientation="landscape"/>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3"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chart" Target="../charts/chart4.xml"/><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editAs="oneCell">
    <xdr:from>
      <xdr:col>8</xdr:col>
      <xdr:colOff>143187</xdr:colOff>
      <xdr:row>0</xdr:row>
      <xdr:rowOff>302620</xdr:rowOff>
    </xdr:from>
    <xdr:to>
      <xdr:col>10</xdr:col>
      <xdr:colOff>3323854</xdr:colOff>
      <xdr:row>5</xdr:row>
      <xdr:rowOff>131684</xdr:rowOff>
    </xdr:to>
    <xdr:pic>
      <xdr:nvPicPr>
        <xdr:cNvPr id="5" name="Picture 4">
          <a:extLst>
            <a:ext uri="{FF2B5EF4-FFF2-40B4-BE49-F238E27FC236}">
              <a16:creationId xmlns:a16="http://schemas.microsoft.com/office/drawing/2014/main" id="{7999ABA4-46CF-D6EF-3ACF-D07E8C936957}"/>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33687" b="29979"/>
        <a:stretch/>
      </xdr:blipFill>
      <xdr:spPr>
        <a:xfrm>
          <a:off x="13234770" y="302620"/>
          <a:ext cx="4344834" cy="1014397"/>
        </a:xfrm>
        <a:prstGeom prst="rect">
          <a:avLst/>
        </a:prstGeom>
      </xdr:spPr>
    </xdr:pic>
    <xdr:clientData/>
  </xdr:twoCellAnchor>
  <xdr:twoCellAnchor>
    <xdr:from>
      <xdr:col>4</xdr:col>
      <xdr:colOff>397802</xdr:colOff>
      <xdr:row>5</xdr:row>
      <xdr:rowOff>164896</xdr:rowOff>
    </xdr:from>
    <xdr:to>
      <xdr:col>7</xdr:col>
      <xdr:colOff>1153584</xdr:colOff>
      <xdr:row>38</xdr:row>
      <xdr:rowOff>42333</xdr:rowOff>
    </xdr:to>
    <xdr:graphicFrame macro="">
      <xdr:nvGraphicFramePr>
        <xdr:cNvPr id="2" name="Chart 13">
          <a:extLst>
            <a:ext uri="{FF2B5EF4-FFF2-40B4-BE49-F238E27FC236}">
              <a16:creationId xmlns:a16="http://schemas.microsoft.com/office/drawing/2014/main" id="{0B06401D-4852-4D22-A9AF-81C92F5938D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904063</xdr:colOff>
      <xdr:row>47</xdr:row>
      <xdr:rowOff>25025</xdr:rowOff>
    </xdr:from>
    <xdr:to>
      <xdr:col>8</xdr:col>
      <xdr:colOff>21166</xdr:colOff>
      <xdr:row>52</xdr:row>
      <xdr:rowOff>155049</xdr:rowOff>
    </xdr:to>
    <xdr:sp macro="" textlink="">
      <xdr:nvSpPr>
        <xdr:cNvPr id="3" name="TextBox 2">
          <a:extLst>
            <a:ext uri="{FF2B5EF4-FFF2-40B4-BE49-F238E27FC236}">
              <a16:creationId xmlns:a16="http://schemas.microsoft.com/office/drawing/2014/main" id="{59292EB5-34D7-490D-BC39-441525984A51}"/>
            </a:ext>
          </a:extLst>
        </xdr:cNvPr>
        <xdr:cNvSpPr txBox="1"/>
      </xdr:nvSpPr>
      <xdr:spPr>
        <a:xfrm>
          <a:off x="7021230" y="7020608"/>
          <a:ext cx="6091519" cy="110369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lang="is-IS" sz="1000" i="1">
              <a:solidFill>
                <a:schemeClr val="dk1"/>
              </a:solidFill>
              <a:effectLst/>
              <a:latin typeface="+mn-lt"/>
              <a:ea typeface="+mn-ea"/>
              <a:cs typeface="+mn-cs"/>
            </a:rPr>
            <a:t>Fyrirvari:</a:t>
          </a:r>
        </a:p>
        <a:p>
          <a:pPr marL="0" marR="0" lvl="0" indent="0" algn="l" defTabSz="914400" eaLnBrk="1" fontAlgn="auto" latinLnBrk="0" hangingPunct="1">
            <a:lnSpc>
              <a:spcPct val="100000"/>
            </a:lnSpc>
            <a:spcBef>
              <a:spcPts val="0"/>
            </a:spcBef>
            <a:spcAft>
              <a:spcPts val="0"/>
            </a:spcAft>
            <a:buClrTx/>
            <a:buSzTx/>
            <a:buFontTx/>
            <a:buNone/>
            <a:tabLst/>
            <a:defRPr/>
          </a:pPr>
          <a:r>
            <a:rPr lang="is-IS" sz="1000" i="1">
              <a:solidFill>
                <a:schemeClr val="dk1"/>
              </a:solidFill>
              <a:effectLst/>
              <a:latin typeface="+mn-lt"/>
              <a:ea typeface="+mn-ea"/>
              <a:cs typeface="+mn-cs"/>
            </a:rPr>
            <a:t>Reiknivél þessari er ætlað að auka fyrirsjáanleika framtíðargreiðslna</a:t>
          </a:r>
          <a:r>
            <a:rPr lang="is-IS" sz="1000" i="1" baseline="0">
              <a:solidFill>
                <a:schemeClr val="dk1"/>
              </a:solidFill>
              <a:effectLst/>
              <a:latin typeface="+mn-lt"/>
              <a:ea typeface="+mn-ea"/>
              <a:cs typeface="+mn-cs"/>
            </a:rPr>
            <a:t> lífeyris</a:t>
          </a:r>
          <a:r>
            <a:rPr lang="is-IS" sz="1000" i="1">
              <a:solidFill>
                <a:schemeClr val="dk1"/>
              </a:solidFill>
              <a:effectLst/>
              <a:latin typeface="+mn-lt"/>
              <a:ea typeface="+mn-ea"/>
              <a:cs typeface="+mn-cs"/>
            </a:rPr>
            <a:t>. Vakin er athygli á því að niðurstaða útreikninga sýnir eingöngu áætlun. Miðast niðurstaða allra útreikninga við gildandi samþykktir og gefnar forsendur og er því aðeins til viðmiðunar og getur ekki verið grundvöllur réttinda. Allur útreikningur er framkvæmdur í dæmaskyni og án allrar skuldbindingar fyrir sjóðinn. Útreikningurinn felur ekki í sér ráðgjöf til sjóðfélaga og er ekki tekin ábyrgð á ákvörðunum sem kunna að vera teknar á grundvelli hans. </a:t>
          </a:r>
          <a:endParaRPr lang="is-IS" sz="1000"/>
        </a:p>
      </xdr:txBody>
    </xdr:sp>
    <xdr:clientData/>
  </xdr:twoCellAnchor>
  <xdr:twoCellAnchor>
    <xdr:from>
      <xdr:col>8</xdr:col>
      <xdr:colOff>148168</xdr:colOff>
      <xdr:row>5</xdr:row>
      <xdr:rowOff>168275</xdr:rowOff>
    </xdr:from>
    <xdr:to>
      <xdr:col>13</xdr:col>
      <xdr:colOff>381001</xdr:colOff>
      <xdr:row>38</xdr:row>
      <xdr:rowOff>36187</xdr:rowOff>
    </xdr:to>
    <xdr:graphicFrame macro="">
      <xdr:nvGraphicFramePr>
        <xdr:cNvPr id="4" name="Chart 13">
          <a:extLst>
            <a:ext uri="{FF2B5EF4-FFF2-40B4-BE49-F238E27FC236}">
              <a16:creationId xmlns:a16="http://schemas.microsoft.com/office/drawing/2014/main" id="{31BA087B-D0D3-4DC1-B48E-078E592EA71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334433</xdr:colOff>
      <xdr:row>46</xdr:row>
      <xdr:rowOff>133350</xdr:rowOff>
    </xdr:from>
    <xdr:to>
      <xdr:col>4</xdr:col>
      <xdr:colOff>222249</xdr:colOff>
      <xdr:row>84</xdr:row>
      <xdr:rowOff>21168</xdr:rowOff>
    </xdr:to>
    <xdr:sp macro="" textlink="">
      <xdr:nvSpPr>
        <xdr:cNvPr id="6" name="TextBox 5">
          <a:extLst>
            <a:ext uri="{FF2B5EF4-FFF2-40B4-BE49-F238E27FC236}">
              <a16:creationId xmlns:a16="http://schemas.microsoft.com/office/drawing/2014/main" id="{822CCA12-2B57-E8A6-8483-1CECAA20F182}"/>
            </a:ext>
          </a:extLst>
        </xdr:cNvPr>
        <xdr:cNvSpPr txBox="1"/>
      </xdr:nvSpPr>
      <xdr:spPr>
        <a:xfrm>
          <a:off x="948266" y="6705600"/>
          <a:ext cx="5687483" cy="684106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is-IS" sz="1600" b="1">
              <a:solidFill>
                <a:schemeClr val="dk1"/>
              </a:solidFill>
              <a:effectLst/>
              <a:latin typeface="+mn-lt"/>
              <a:ea typeface="+mn-ea"/>
              <a:cs typeface="+mn-cs"/>
            </a:rPr>
            <a:t>Nánari</a:t>
          </a:r>
          <a:r>
            <a:rPr lang="is-IS" sz="1600" b="1" baseline="0">
              <a:solidFill>
                <a:schemeClr val="dk1"/>
              </a:solidFill>
              <a:effectLst/>
              <a:latin typeface="+mn-lt"/>
              <a:ea typeface="+mn-ea"/>
              <a:cs typeface="+mn-cs"/>
            </a:rPr>
            <a:t> útskýringar á breytingum réttinda sjóðfélaga LTFÍ </a:t>
          </a:r>
          <a:endParaRPr lang="is-IS" sz="1600" b="1">
            <a:solidFill>
              <a:schemeClr val="dk1"/>
            </a:solidFill>
            <a:effectLst/>
            <a:latin typeface="+mn-lt"/>
            <a:ea typeface="+mn-ea"/>
            <a:cs typeface="+mn-cs"/>
          </a:endParaRPr>
        </a:p>
        <a:p>
          <a:r>
            <a:rPr lang="is-IS" sz="1200">
              <a:solidFill>
                <a:schemeClr val="dk1"/>
              </a:solidFill>
              <a:effectLst/>
              <a:latin typeface="+mn-lt"/>
              <a:ea typeface="+mn-ea"/>
              <a:cs typeface="+mn-cs"/>
            </a:rPr>
            <a:t>Við sameininguna halda sjóðfélagar öllum áunnum réttindum en viðmiðunaraldur eftirlauna er mismunandi eftir leiðum og mun breytast hjá þeim sem eiga réttindi í leiðum II og III. Munu áunnin réttindi og séreign miða við reglur Frjálsu leiðarinnar en skv. henni er viðmiðunaraldur eftirlauna í samtryggingu 70 ára.</a:t>
          </a:r>
        </a:p>
        <a:p>
          <a:endParaRPr lang="is-IS" sz="1200">
            <a:solidFill>
              <a:schemeClr val="dk1"/>
            </a:solidFill>
            <a:effectLst/>
            <a:latin typeface="+mn-lt"/>
            <a:ea typeface="+mn-ea"/>
            <a:cs typeface="+mn-cs"/>
          </a:endParaRPr>
        </a:p>
        <a:p>
          <a:r>
            <a:rPr lang="is-IS" sz="1400" b="1" u="sng">
              <a:solidFill>
                <a:schemeClr val="dk1"/>
              </a:solidFill>
              <a:effectLst/>
              <a:latin typeface="+mn-lt"/>
              <a:ea typeface="+mn-ea"/>
              <a:cs typeface="+mn-cs"/>
            </a:rPr>
            <a:t>Leið I</a:t>
          </a:r>
          <a:endParaRPr lang="is-IS" sz="1400">
            <a:solidFill>
              <a:schemeClr val="dk1"/>
            </a:solidFill>
            <a:effectLst/>
            <a:latin typeface="+mn-lt"/>
            <a:ea typeface="+mn-ea"/>
            <a:cs typeface="+mn-cs"/>
          </a:endParaRPr>
        </a:p>
        <a:p>
          <a:r>
            <a:rPr lang="is-IS" sz="1200" b="0" i="0">
              <a:solidFill>
                <a:schemeClr val="dk1"/>
              </a:solidFill>
              <a:effectLst/>
              <a:latin typeface="+mn-lt"/>
              <a:ea typeface="+mn-ea"/>
              <a:cs typeface="+mn-cs"/>
            </a:rPr>
            <a:t>Hjá LTFÍ er viðmiðunaraldur réttinda í samtryggingu 70 ára fyrir þá sem eru í leið I. Með sameiningunni mun viðmiðunaraldurinn haldast óbreyttur og vera 70 ára, réttindin haldast því þau sömu. </a:t>
          </a:r>
        </a:p>
        <a:p>
          <a:endParaRPr lang="is-IS" sz="1100" b="0" i="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is-IS" sz="1400" b="1" u="sng">
              <a:solidFill>
                <a:schemeClr val="dk1"/>
              </a:solidFill>
              <a:effectLst/>
              <a:latin typeface="+mn-lt"/>
              <a:ea typeface="+mn-ea"/>
              <a:cs typeface="+mn-cs"/>
            </a:rPr>
            <a:t>Leið II</a:t>
          </a:r>
          <a:endParaRPr lang="is-IS" sz="1100" b="0" i="0">
            <a:solidFill>
              <a:schemeClr val="dk1"/>
            </a:solidFill>
            <a:effectLst/>
            <a:latin typeface="+mn-lt"/>
            <a:ea typeface="+mn-ea"/>
            <a:cs typeface="+mn-cs"/>
          </a:endParaRPr>
        </a:p>
        <a:p>
          <a:r>
            <a:rPr lang="is-IS" sz="1200" b="0" i="0">
              <a:solidFill>
                <a:schemeClr val="dk1"/>
              </a:solidFill>
              <a:effectLst/>
              <a:latin typeface="+mn-lt"/>
              <a:ea typeface="+mn-ea"/>
              <a:cs typeface="+mn-cs"/>
            </a:rPr>
            <a:t>Hjá LTFÍ er viðmiðunaraldur réttinda í samtryggingu 75 ára fyrir þá sem eru í leið II. Með sameiningunni mun viðmiðunaraldurinn verða 70 ára og réttindin því lægri en miðað við 75 ára aldur. Einnig mun bundna séreignin breytast í frjálsa séreign sem er laus til útgreiðslu frá 60 ára aldri. Aftur á móti geta sjóðfélagar hagað sínum útgreiðslum eins og gert er ráð fyrir í leið II með því að taka út séreign sína frá 70-75 ára og að fresta útgreiðslu eftirlauna úr samtryggingu til 75 ára og fá þannig sömu eftirlaun og þeir hefðu fengið í leið II. </a:t>
          </a:r>
        </a:p>
        <a:p>
          <a:endParaRPr lang="is-IS" sz="1200" b="0" i="0">
            <a:solidFill>
              <a:schemeClr val="dk1"/>
            </a:solidFill>
            <a:effectLst/>
            <a:latin typeface="+mn-lt"/>
            <a:ea typeface="+mn-ea"/>
            <a:cs typeface="+mn-cs"/>
          </a:endParaRPr>
        </a:p>
        <a:p>
          <a:pPr eaLnBrk="1" fontAlgn="auto" latinLnBrk="0" hangingPunct="1"/>
          <a:r>
            <a:rPr lang="is-IS" sz="1400" b="1" u="sng">
              <a:solidFill>
                <a:schemeClr val="dk1"/>
              </a:solidFill>
              <a:effectLst/>
              <a:latin typeface="+mn-lt"/>
              <a:ea typeface="+mn-ea"/>
              <a:cs typeface="+mn-cs"/>
            </a:rPr>
            <a:t>Leið III</a:t>
          </a:r>
          <a:endParaRPr lang="is-IS" sz="1200"/>
        </a:p>
        <a:p>
          <a:r>
            <a:rPr lang="is-IS" sz="1200" b="0" i="0">
              <a:solidFill>
                <a:schemeClr val="dk1"/>
              </a:solidFill>
              <a:effectLst/>
              <a:latin typeface="+mn-lt"/>
              <a:ea typeface="+mn-ea"/>
              <a:cs typeface="+mn-cs"/>
            </a:rPr>
            <a:t>Hjá LTFÍ er viðmiðunaraldur réttinda í samtryggingu 80 ára fyrir þá sem eru í leið III. Með sameiningunni mun viðmunaraldurinn verða 70 ára og réttindin því lægri en miðað við 80 ára aldur. Einnig mun bundna séreignin breytast í frjálsa séreign sem er laus til útgreiðslu frá 60 ára aldri. Aftur á móti geta sjóðfélagar hagað sínum útgreiðslum eins og gert er ráð fyrir í leið III með því að taka út séreign sína frá 70-80 ára og að fresta útgreiðslu eftirlauna úr samtryggingu til 80 ára og fá þannig sömu eftirlaun og þeir hefðu fengið í leið III.</a:t>
          </a:r>
        </a:p>
        <a:p>
          <a:endParaRPr lang="is-IS" sz="1200" b="0" i="0">
            <a:solidFill>
              <a:schemeClr val="dk1"/>
            </a:solidFill>
            <a:effectLst/>
            <a:latin typeface="+mn-lt"/>
            <a:ea typeface="+mn-ea"/>
            <a:cs typeface="+mn-cs"/>
          </a:endParaRPr>
        </a:p>
        <a:p>
          <a:pPr eaLnBrk="1" fontAlgn="auto" latinLnBrk="0" hangingPunct="1"/>
          <a:r>
            <a:rPr lang="is-IS" sz="1400" b="1" u="sng">
              <a:solidFill>
                <a:schemeClr val="dk1"/>
              </a:solidFill>
              <a:effectLst/>
              <a:latin typeface="+mn-lt"/>
              <a:ea typeface="+mn-ea"/>
              <a:cs typeface="+mn-cs"/>
            </a:rPr>
            <a:t>Leið IV</a:t>
          </a:r>
          <a:endParaRPr lang="is-IS" sz="1400">
            <a:effectLst/>
          </a:endParaRPr>
        </a:p>
        <a:p>
          <a:r>
            <a:rPr lang="is-IS" sz="1200" b="0" i="0">
              <a:solidFill>
                <a:schemeClr val="dk1"/>
              </a:solidFill>
              <a:effectLst/>
              <a:latin typeface="+mn-lt"/>
              <a:ea typeface="+mn-ea"/>
              <a:cs typeface="+mn-cs"/>
            </a:rPr>
            <a:t>Hjá LTFÍ er viðmiðunaraldur réttinda í samtryggingu 85 ára fyrir þá sem eru í leið IV. Með sameiningunni mun viðmiðunaraldurinn haldast óbreyttur og vera 85 ára, réttindin haldast því þau sömu. Aftur á móti geta sjóðfélagar flýtt töku samtryggingar til 82, 83 eða 84 ára aldurs. Áunnin örorku- og makalífeyrisréttindi verða óbreytt og miðast við áunnin réttindi við 85 ára aldur.</a:t>
          </a:r>
          <a:endParaRPr lang="is-IS"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361510</xdr:colOff>
      <xdr:row>2</xdr:row>
      <xdr:rowOff>49679</xdr:rowOff>
    </xdr:from>
    <xdr:to>
      <xdr:col>16</xdr:col>
      <xdr:colOff>2229010</xdr:colOff>
      <xdr:row>30</xdr:row>
      <xdr:rowOff>29476</xdr:rowOff>
    </xdr:to>
    <xdr:graphicFrame macro="">
      <xdr:nvGraphicFramePr>
        <xdr:cNvPr id="2" name="Chart 12">
          <a:extLst>
            <a:ext uri="{FF2B5EF4-FFF2-40B4-BE49-F238E27FC236}">
              <a16:creationId xmlns:a16="http://schemas.microsoft.com/office/drawing/2014/main" id="{C5FBDCFE-4535-4809-9BAB-6E566C9685D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261065</xdr:colOff>
      <xdr:row>1</xdr:row>
      <xdr:rowOff>85949</xdr:rowOff>
    </xdr:from>
    <xdr:to>
      <xdr:col>9</xdr:col>
      <xdr:colOff>2088598</xdr:colOff>
      <xdr:row>29</xdr:row>
      <xdr:rowOff>81621</xdr:rowOff>
    </xdr:to>
    <xdr:graphicFrame macro="">
      <xdr:nvGraphicFramePr>
        <xdr:cNvPr id="3" name="Chart 13">
          <a:extLst>
            <a:ext uri="{FF2B5EF4-FFF2-40B4-BE49-F238E27FC236}">
              <a16:creationId xmlns:a16="http://schemas.microsoft.com/office/drawing/2014/main" id="{1201A4D4-15D6-4D3C-87AC-B5241EE2992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2</xdr:col>
      <xdr:colOff>176120</xdr:colOff>
      <xdr:row>1</xdr:row>
      <xdr:rowOff>128120</xdr:rowOff>
    </xdr:from>
    <xdr:to>
      <xdr:col>3</xdr:col>
      <xdr:colOff>816350</xdr:colOff>
      <xdr:row>7</xdr:row>
      <xdr:rowOff>1324</xdr:rowOff>
    </xdr:to>
    <xdr:pic>
      <xdr:nvPicPr>
        <xdr:cNvPr id="4" name="Picture 3">
          <a:extLst>
            <a:ext uri="{FF2B5EF4-FFF2-40B4-BE49-F238E27FC236}">
              <a16:creationId xmlns:a16="http://schemas.microsoft.com/office/drawing/2014/main" id="{B96277C9-BB28-4750-8874-23FF8DE08E32}"/>
            </a:ext>
          </a:extLst>
        </xdr:cNvPr>
        <xdr:cNvPicPr>
          <a:picLocks noChangeAspect="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t="33687" b="29979"/>
        <a:stretch/>
      </xdr:blipFill>
      <xdr:spPr>
        <a:xfrm>
          <a:off x="1338170" y="318620"/>
          <a:ext cx="4354980" cy="101620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11</xdr:col>
      <xdr:colOff>218105</xdr:colOff>
      <xdr:row>0</xdr:row>
      <xdr:rowOff>0</xdr:rowOff>
    </xdr:from>
    <xdr:to>
      <xdr:col>13</xdr:col>
      <xdr:colOff>1047004</xdr:colOff>
      <xdr:row>4</xdr:row>
      <xdr:rowOff>98495</xdr:rowOff>
    </xdr:to>
    <xdr:sp macro="" textlink="">
      <xdr:nvSpPr>
        <xdr:cNvPr id="2" name="Rectangle: Rounded Corners 1">
          <a:extLst>
            <a:ext uri="{FF2B5EF4-FFF2-40B4-BE49-F238E27FC236}">
              <a16:creationId xmlns:a16="http://schemas.microsoft.com/office/drawing/2014/main" id="{C36135C7-A7A1-FC33-D8A8-8F1DE1476AE8}"/>
            </a:ext>
          </a:extLst>
        </xdr:cNvPr>
        <xdr:cNvSpPr/>
      </xdr:nvSpPr>
      <xdr:spPr>
        <a:xfrm>
          <a:off x="7412281" y="0"/>
          <a:ext cx="2039135" cy="849289"/>
        </a:xfrm>
        <a:prstGeom prst="roundRect">
          <a:avLst/>
        </a:prstGeom>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r>
            <a:rPr lang="is-IS" sz="1100"/>
            <a:t>Grunnreikningar</a:t>
          </a:r>
          <a:r>
            <a:rPr lang="is-IS" sz="1100" baseline="0"/>
            <a:t> sem notaðir eru fyrir reikningana. viljum nota það eh.</a:t>
          </a:r>
          <a:endParaRPr lang="is-IS" sz="1100"/>
        </a:p>
      </xdr:txBody>
    </xdr:sp>
    <xdr:clientData/>
  </xdr:twoCellAnchor>
  <xdr:twoCellAnchor>
    <xdr:from>
      <xdr:col>19</xdr:col>
      <xdr:colOff>182739</xdr:colOff>
      <xdr:row>7</xdr:row>
      <xdr:rowOff>121094</xdr:rowOff>
    </xdr:from>
    <xdr:to>
      <xdr:col>20</xdr:col>
      <xdr:colOff>0</xdr:colOff>
      <xdr:row>13</xdr:row>
      <xdr:rowOff>1</xdr:rowOff>
    </xdr:to>
    <xdr:sp macro="" textlink="">
      <xdr:nvSpPr>
        <xdr:cNvPr id="4" name="Rectangle: Rounded Corners 3">
          <a:extLst>
            <a:ext uri="{FF2B5EF4-FFF2-40B4-BE49-F238E27FC236}">
              <a16:creationId xmlns:a16="http://schemas.microsoft.com/office/drawing/2014/main" id="{1D2AF63A-DB85-4E5A-A24C-15C797BABAA3}"/>
            </a:ext>
          </a:extLst>
        </xdr:cNvPr>
        <xdr:cNvSpPr/>
      </xdr:nvSpPr>
      <xdr:spPr>
        <a:xfrm>
          <a:off x="18021535" y="1461650"/>
          <a:ext cx="793280" cy="960758"/>
        </a:xfrm>
        <a:prstGeom prst="roundRect">
          <a:avLst/>
        </a:prstGeom>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r>
            <a:rPr lang="is-IS" sz="1100"/>
            <a:t>Frjálsa leiðin skyldusparnaður. Niðurstöður eru neðst</a:t>
          </a:r>
        </a:p>
      </xdr:txBody>
    </xdr:sp>
    <xdr:clientData/>
  </xdr:twoCellAnchor>
  <xdr:twoCellAnchor>
    <xdr:from>
      <xdr:col>25</xdr:col>
      <xdr:colOff>540926</xdr:colOff>
      <xdr:row>8</xdr:row>
      <xdr:rowOff>96610</xdr:rowOff>
    </xdr:from>
    <xdr:to>
      <xdr:col>25</xdr:col>
      <xdr:colOff>1826179</xdr:colOff>
      <xdr:row>17</xdr:row>
      <xdr:rowOff>50212</xdr:rowOff>
    </xdr:to>
    <xdr:sp macro="" textlink="">
      <xdr:nvSpPr>
        <xdr:cNvPr id="5" name="Rectangle: Rounded Corners 4">
          <a:extLst>
            <a:ext uri="{FF2B5EF4-FFF2-40B4-BE49-F238E27FC236}">
              <a16:creationId xmlns:a16="http://schemas.microsoft.com/office/drawing/2014/main" id="{EBBFD3BB-9457-49D5-BE9C-8B7E8E2855DD}"/>
            </a:ext>
          </a:extLst>
        </xdr:cNvPr>
        <xdr:cNvSpPr/>
      </xdr:nvSpPr>
      <xdr:spPr>
        <a:xfrm>
          <a:off x="24588611" y="1613554"/>
          <a:ext cx="1285253" cy="1588139"/>
        </a:xfrm>
        <a:prstGeom prst="roundRect">
          <a:avLst/>
        </a:prstGeom>
      </xdr:spPr>
      <xdr:style>
        <a:lnRef idx="2">
          <a:schemeClr val="accent1"/>
        </a:lnRef>
        <a:fillRef idx="1">
          <a:schemeClr val="lt1"/>
        </a:fillRef>
        <a:effectRef idx="0">
          <a:schemeClr val="accent1"/>
        </a:effectRef>
        <a:fontRef idx="minor">
          <a:schemeClr val="dk1"/>
        </a:fontRef>
      </xdr:style>
      <xdr:txBody>
        <a:bodyPr vertOverflow="clip" horzOverflow="clip" rtlCol="0" anchor="t"/>
        <a:lstStyle/>
        <a:p>
          <a:pPr algn="l"/>
          <a:r>
            <a:rPr lang="is-IS" sz="1100"/>
            <a:t>Erfanlega leiðin skyldusparnaður. Niðurstöður eru neðst</a:t>
          </a:r>
        </a:p>
      </xdr:txBody>
    </xdr:sp>
    <xdr:clientData/>
  </xdr:twoCellAnchor>
</xdr:wsDr>
</file>

<file path=xl/persons/person.xml><?xml version="1.0" encoding="utf-8"?>
<personList xmlns="http://schemas.microsoft.com/office/spreadsheetml/2018/threadedcomments" xmlns:x="http://schemas.openxmlformats.org/spreadsheetml/2006/main">
  <person displayName="Hrafnhildur Líf Jónsdóttir" id="{52586F46-99C7-46FB-BEEB-085216AD2E4D}" userId="S::hrafnhildur.l.jonsdottir@arionbanki.is::da5e57e0-f0ef-4907-a92b-80e9f35c5df0"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C17" dT="2025-10-22T10:40:01.66" personId="{52586F46-99C7-46FB-BEEB-085216AD2E4D}" id="{6D6B0B3E-3EFD-4F5B-8151-846EF05A613A}">
    <text>Má sleppa þessu og hafa bara í útskýringum 3,5%</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DBBF18-3ACD-4DFB-9C96-DDC2AF2751CB}">
  <sheetPr>
    <pageSetUpPr fitToPage="1"/>
  </sheetPr>
  <dimension ref="B1:L72"/>
  <sheetViews>
    <sheetView tabSelected="1" topLeftCell="B5" zoomScale="90" zoomScaleNormal="90" zoomScaleSheetLayoutView="50" zoomScalePageLayoutView="80" workbookViewId="0">
      <selection activeCell="D45" sqref="D45"/>
    </sheetView>
  </sheetViews>
  <sheetFormatPr defaultColWidth="8.7265625" defaultRowHeight="14.5" x14ac:dyDescent="0.35"/>
  <cols>
    <col min="1" max="2" width="8.7265625" style="41"/>
    <col min="3" max="3" width="68" style="41" customWidth="1"/>
    <col min="4" max="4" width="18.453125" style="41" bestFit="1" customWidth="1"/>
    <col min="5" max="5" width="13.54296875" style="41" customWidth="1"/>
    <col min="6" max="6" width="54.54296875" style="41" customWidth="1"/>
    <col min="7" max="7" width="18.26953125" style="41" customWidth="1"/>
    <col min="8" max="8" width="18.1796875" style="41" customWidth="1"/>
    <col min="9" max="10" width="8.7265625" style="41"/>
    <col min="11" max="11" width="54.453125" style="41" customWidth="1"/>
    <col min="12" max="12" width="18" style="41" customWidth="1"/>
    <col min="13" max="16384" width="8.7265625" style="41"/>
  </cols>
  <sheetData>
    <row r="1" spans="3:8" ht="26" x14ac:dyDescent="0.6">
      <c r="C1" s="111" t="s">
        <v>0</v>
      </c>
    </row>
    <row r="2" spans="3:8" ht="19" thickBot="1" x14ac:dyDescent="0.4">
      <c r="C2" s="112"/>
    </row>
    <row r="3" spans="3:8" ht="16" x14ac:dyDescent="0.35">
      <c r="C3" s="114" t="s">
        <v>1</v>
      </c>
    </row>
    <row r="4" spans="3:8" ht="16" x14ac:dyDescent="0.35">
      <c r="C4" s="125" t="s">
        <v>108</v>
      </c>
      <c r="D4" s="125"/>
      <c r="E4" s="125"/>
      <c r="F4" s="125"/>
      <c r="G4" s="125"/>
    </row>
    <row r="5" spans="3:8" ht="16" x14ac:dyDescent="0.35">
      <c r="C5" s="125" t="s">
        <v>107</v>
      </c>
      <c r="D5" s="125"/>
      <c r="E5" s="125"/>
      <c r="F5" s="125"/>
      <c r="G5" s="125"/>
    </row>
    <row r="6" spans="3:8" x14ac:dyDescent="0.35">
      <c r="C6" s="113"/>
    </row>
    <row r="7" spans="3:8" ht="15" thickBot="1" x14ac:dyDescent="0.4">
      <c r="C7" s="76" t="s">
        <v>2</v>
      </c>
    </row>
    <row r="8" spans="3:8" x14ac:dyDescent="0.35">
      <c r="C8" s="119" t="s">
        <v>106</v>
      </c>
    </row>
    <row r="9" spans="3:8" x14ac:dyDescent="0.35">
      <c r="H9" s="54"/>
    </row>
    <row r="10" spans="3:8" ht="17.25" customHeight="1" x14ac:dyDescent="0.35">
      <c r="C10" s="126" t="s">
        <v>3</v>
      </c>
      <c r="D10" s="127"/>
    </row>
    <row r="11" spans="3:8" ht="15" thickBot="1" x14ac:dyDescent="0.4">
      <c r="C11" s="128"/>
      <c r="D11" s="129"/>
    </row>
    <row r="12" spans="3:8" x14ac:dyDescent="0.35">
      <c r="C12" s="43" t="str">
        <f>Reikningur!C8</f>
        <v>Fæðingarár</v>
      </c>
      <c r="D12" s="57">
        <v>1970</v>
      </c>
    </row>
    <row r="13" spans="3:8" x14ac:dyDescent="0.35">
      <c r="C13" s="43" t="str">
        <f>Reikningur!C9</f>
        <v>Aldur í dag</v>
      </c>
      <c r="D13" s="100">
        <f ca="1">+YEAR(TODAY())-D12</f>
        <v>55</v>
      </c>
    </row>
    <row r="14" spans="3:8" x14ac:dyDescent="0.35">
      <c r="C14" s="43" t="str">
        <f>Reikningur!C10</f>
        <v>Áætlaður starfslokaaldur</v>
      </c>
      <c r="D14" s="58"/>
    </row>
    <row r="15" spans="3:8" x14ac:dyDescent="0.35">
      <c r="C15" s="43" t="str">
        <f>Reikningur!C11</f>
        <v>Núverandi atvinnutekjur á mánuði, f. skatt</v>
      </c>
      <c r="D15" s="94"/>
    </row>
    <row r="16" spans="3:8" x14ac:dyDescent="0.35">
      <c r="C16" s="43" t="str">
        <f>Reikningur!C12</f>
        <v>Viðbótariðgjald 2% eða 4%</v>
      </c>
      <c r="D16" s="95">
        <v>0</v>
      </c>
    </row>
    <row r="17" spans="2:11" hidden="1" x14ac:dyDescent="0.35">
      <c r="B17" s="102"/>
      <c r="C17" s="43" t="str">
        <f>Reikningur!C14</f>
        <v>Áætluð ávöxtun lífeyrissparnaðar</v>
      </c>
      <c r="D17" s="85">
        <v>3.5000000000000003E-2</v>
      </c>
    </row>
    <row r="18" spans="2:11" x14ac:dyDescent="0.35">
      <c r="B18" s="101"/>
      <c r="C18" s="43" t="str">
        <f>Reikningur!C15</f>
        <v>Greiðsluleið samtryggingar hjá LTFÍ</v>
      </c>
      <c r="D18" s="92" t="s">
        <v>52</v>
      </c>
    </row>
    <row r="19" spans="2:11" x14ac:dyDescent="0.35">
      <c r="B19" s="101"/>
      <c r="C19" s="43" t="str">
        <f>Reikningur!C16</f>
        <v>Greiðsluleið samtryggingar hjá Frjálsa - eftir sameiningu</v>
      </c>
      <c r="D19" s="103" t="str">
        <f>+Reikningur!D16</f>
        <v>Frjálsa leiðin</v>
      </c>
    </row>
    <row r="20" spans="2:11" hidden="1" x14ac:dyDescent="0.35">
      <c r="B20" s="120" t="s">
        <v>5</v>
      </c>
      <c r="C20" s="126" t="str">
        <f>Reikningur!C17</f>
        <v>Framtíðariðgjöld mín</v>
      </c>
      <c r="D20" s="127"/>
    </row>
    <row r="21" spans="2:11" ht="15" hidden="1" thickBot="1" x14ac:dyDescent="0.4">
      <c r="B21" s="120"/>
      <c r="C21" s="128"/>
      <c r="D21" s="129"/>
    </row>
    <row r="22" spans="2:11" ht="14.5" hidden="1" customHeight="1" x14ac:dyDescent="0.35">
      <c r="B22" s="120"/>
      <c r="C22" s="44" t="str">
        <f>Reikningur!C19</f>
        <v>Hlutfall skylduiðgjalda sem greiðast í Frjálsu leiðina (15,5%)</v>
      </c>
      <c r="D22" s="96"/>
    </row>
    <row r="23" spans="2:11" ht="14.5" hidden="1" customHeight="1" x14ac:dyDescent="0.35">
      <c r="B23" s="120"/>
      <c r="C23" s="43" t="str">
        <f>Reikningur!C20</f>
        <v>Samtrygging (8,75%)</v>
      </c>
      <c r="D23" s="46">
        <f>Reikningur!D20</f>
        <v>0</v>
      </c>
      <c r="G23" s="54"/>
      <c r="H23" s="54"/>
      <c r="I23" s="54"/>
      <c r="J23" s="54"/>
      <c r="K23" s="54"/>
    </row>
    <row r="24" spans="2:11" hidden="1" x14ac:dyDescent="0.35">
      <c r="B24" s="120"/>
      <c r="C24" s="43" t="str">
        <f>Reikningur!C21</f>
        <v>Frjáls séreign (6,75%)</v>
      </c>
      <c r="D24" s="47">
        <f>Reikningur!D21</f>
        <v>0</v>
      </c>
    </row>
    <row r="25" spans="2:11" hidden="1" x14ac:dyDescent="0.35">
      <c r="B25" s="120"/>
      <c r="C25" s="44" t="str">
        <f>Reikningur!C22</f>
        <v>Hlutfall skylduiðgjalda sem greiðast í Erfanlegu leiðina (15,5%)</v>
      </c>
      <c r="D25" s="96"/>
    </row>
    <row r="26" spans="2:11" hidden="1" x14ac:dyDescent="0.35">
      <c r="B26" s="120"/>
      <c r="C26" s="43" t="str">
        <f>Reikningur!C23</f>
        <v>Samtrygging (3,7%)</v>
      </c>
      <c r="D26" s="47">
        <f>Reikningur!D23</f>
        <v>0</v>
      </c>
    </row>
    <row r="27" spans="2:11" hidden="1" x14ac:dyDescent="0.35">
      <c r="B27" s="120"/>
      <c r="C27" s="43" t="str">
        <f>Reikningur!C24</f>
        <v>Bundin séreign (6,55%)</v>
      </c>
      <c r="D27" s="47">
        <f>Reikningur!D24</f>
        <v>0</v>
      </c>
    </row>
    <row r="28" spans="2:11" hidden="1" x14ac:dyDescent="0.35">
      <c r="B28" s="120"/>
      <c r="C28" s="43" t="str">
        <f>Reikningur!C25</f>
        <v>Frjáls séreign (5,25%)</v>
      </c>
      <c r="D28" s="47">
        <f>Reikningur!D25</f>
        <v>0</v>
      </c>
      <c r="G28" s="54"/>
      <c r="I28" s="54"/>
      <c r="J28" s="54"/>
      <c r="K28" s="54"/>
    </row>
    <row r="29" spans="2:11" hidden="1" x14ac:dyDescent="0.35">
      <c r="B29" s="120"/>
      <c r="C29" s="44" t="str">
        <f>Reikningur!C26</f>
        <v>Hlutfall iðgjalda sem greiðist í frjálsa séreign viðbótar (2%)</v>
      </c>
      <c r="D29" s="47"/>
    </row>
    <row r="30" spans="2:11" hidden="1" x14ac:dyDescent="0.35">
      <c r="B30" s="120"/>
      <c r="C30" s="43" t="str">
        <f>Reikningur!C27</f>
        <v>Viðbótarlífeyrissparnaður (2%)</v>
      </c>
      <c r="D30" s="47">
        <f>Reikningur!D27</f>
        <v>0</v>
      </c>
      <c r="H30" s="54"/>
    </row>
    <row r="31" spans="2:11" x14ac:dyDescent="0.35">
      <c r="C31" s="126" t="str">
        <f>Reikningur!C29</f>
        <v>Núverandi staða mín</v>
      </c>
      <c r="D31" s="127"/>
    </row>
    <row r="32" spans="2:11" ht="15" thickBot="1" x14ac:dyDescent="0.4">
      <c r="C32" s="128"/>
      <c r="D32" s="129"/>
      <c r="G32" s="54"/>
      <c r="H32" s="54"/>
      <c r="I32" s="54"/>
      <c r="J32" s="54"/>
      <c r="K32" s="54"/>
    </row>
    <row r="33" spans="2:12" ht="15" customHeight="1" x14ac:dyDescent="0.35">
      <c r="C33" s="104" t="str">
        <f>+Reikningur!C31</f>
        <v>Samtrygging úr LTFÍ - mánaðarleg réttindi</v>
      </c>
      <c r="D33" s="61"/>
      <c r="E33" s="105"/>
    </row>
    <row r="34" spans="2:12" x14ac:dyDescent="0.35">
      <c r="C34" s="42" t="str">
        <f>+Reikningur!C32</f>
        <v>Bundin séreign - erfanleg heildareign</v>
      </c>
      <c r="D34" s="61"/>
      <c r="E34" s="105"/>
    </row>
    <row r="35" spans="2:12" x14ac:dyDescent="0.35">
      <c r="C35" s="42" t="str">
        <f>+Reikningur!C33</f>
        <v xml:space="preserve">Frjáls séreign - erfanleg heildareign </v>
      </c>
      <c r="D35" s="61"/>
      <c r="E35" s="105"/>
    </row>
    <row r="36" spans="2:12" x14ac:dyDescent="0.35">
      <c r="C36" s="86" t="str">
        <f>+Reikningur!C34</f>
        <v>Viðbótarsparnaður - erfanleg heildareign</v>
      </c>
      <c r="D36" s="61"/>
      <c r="E36" s="105"/>
    </row>
    <row r="37" spans="2:12" x14ac:dyDescent="0.35">
      <c r="C37" s="126" t="str">
        <f>Reikningur!C35</f>
        <v>Útgreiðslutími og aldur</v>
      </c>
      <c r="D37" s="127"/>
      <c r="H37" s="54"/>
      <c r="I37" s="54"/>
      <c r="J37" s="54"/>
      <c r="K37" s="54"/>
    </row>
    <row r="38" spans="2:12" ht="15" thickBot="1" x14ac:dyDescent="0.4">
      <c r="C38" s="134"/>
      <c r="D38" s="135"/>
    </row>
    <row r="39" spans="2:12" ht="14.5" customHeight="1" x14ac:dyDescent="0.35">
      <c r="C39" s="136" t="str">
        <f>+Reikningur!C40</f>
        <v>Útgreiðslur bundinnar séreignar hefjast</v>
      </c>
      <c r="D39" s="143"/>
    </row>
    <row r="40" spans="2:12" ht="14.5" customHeight="1" x14ac:dyDescent="0.35">
      <c r="C40" s="137" t="str">
        <f>+Reikningur!C37</f>
        <v>Útgreiðslur samtrygging Frjálsu leiðarinnar hefjast</v>
      </c>
      <c r="D40" s="138"/>
      <c r="F40" s="121" t="str">
        <f>Reikningur!C48</f>
        <v>Staða við starfslok ef framtíðariðgjöld greiðast í Frjálsu leiðina</v>
      </c>
      <c r="G40" s="122"/>
      <c r="K40" s="121" t="str">
        <f>+Reikningur!C55</f>
        <v>Staða við starfslok ef enginn framtíðariðgjöld eru greidd</v>
      </c>
      <c r="L40" s="122"/>
    </row>
    <row r="41" spans="2:12" ht="15.75" customHeight="1" thickBot="1" x14ac:dyDescent="0.4">
      <c r="C41" s="137" t="str">
        <f>+Reikningur!C39</f>
        <v xml:space="preserve">     Útgreiðslutími samtrygging Frjálsu leiðarinnar</v>
      </c>
      <c r="D41" s="139" t="str">
        <f>+Reikningur!D39</f>
        <v>Ævilangt</v>
      </c>
      <c r="F41" s="123"/>
      <c r="G41" s="124"/>
      <c r="K41" s="123"/>
      <c r="L41" s="124"/>
    </row>
    <row r="42" spans="2:12" ht="14.5" customHeight="1" x14ac:dyDescent="0.35">
      <c r="C42" s="137" t="str">
        <f>+Reikningur!C44</f>
        <v>Útgreiðslur frjálsrar séreignar hefjast</v>
      </c>
      <c r="D42" s="138"/>
      <c r="F42" s="43" t="str">
        <f>Reikningur!C50</f>
        <v>Samtrygging úr Frjálsu- mánaðarleg réttindi (0 ára)</v>
      </c>
      <c r="G42" s="98">
        <f ca="1">Reikningur!D50</f>
        <v>0</v>
      </c>
      <c r="H42" s="54"/>
      <c r="I42" s="54"/>
      <c r="J42" s="54"/>
      <c r="K42" s="43" t="str">
        <f>+Reikningur!C57</f>
        <v>Samtrygging úr Frjálsu- mánaðarleg réttindi (0 ára)</v>
      </c>
      <c r="L42" s="98">
        <f>+Reikningur!D57</f>
        <v>0</v>
      </c>
    </row>
    <row r="43" spans="2:12" ht="14.5" customHeight="1" x14ac:dyDescent="0.35">
      <c r="C43" s="137" t="str">
        <f>+Reikningur!C45</f>
        <v xml:space="preserve">     Útgreiðslutími frjálsrar séreignar</v>
      </c>
      <c r="D43" s="140"/>
      <c r="F43" s="43" t="str">
        <f>Reikningur!C51</f>
        <v>Bundin séreign - erfanleg heildareign (0 ára)</v>
      </c>
      <c r="G43" s="67">
        <f ca="1">Reikningur!D51</f>
        <v>0</v>
      </c>
      <c r="K43" s="43" t="str">
        <f>+Reikningur!C58</f>
        <v>Bundin séreign - erfanleg heildareign (0 ára)</v>
      </c>
      <c r="L43" s="67">
        <f ca="1">+Reikningur!D58</f>
        <v>0</v>
      </c>
    </row>
    <row r="44" spans="2:12" ht="15" customHeight="1" x14ac:dyDescent="0.35">
      <c r="C44" s="137" t="str">
        <f>+Reikningur!C46</f>
        <v>Útgreiðslur viðbótarsparnaðar hefjast</v>
      </c>
      <c r="D44" s="138"/>
      <c r="F44" s="43" t="str">
        <f>Reikningur!C52</f>
        <v>Frjáls séreign - erfanleg heildareign (0 ára)</v>
      </c>
      <c r="G44" s="67">
        <f ca="1">Reikningur!D52</f>
        <v>0</v>
      </c>
      <c r="K44" s="43" t="str">
        <f>+Reikningur!C59</f>
        <v>Frjáls séreign - erfanleg heildareign (0 ára)</v>
      </c>
      <c r="L44" s="67">
        <f ca="1">+Reikningur!D59</f>
        <v>0</v>
      </c>
    </row>
    <row r="45" spans="2:12" ht="16" thickBot="1" x14ac:dyDescent="0.4">
      <c r="C45" s="141" t="str">
        <f>+Reikningur!C47</f>
        <v xml:space="preserve">     Útgreiðslutími viðbótarsparnaðar</v>
      </c>
      <c r="D45" s="142"/>
      <c r="F45" s="43" t="str">
        <f>Reikningur!C53</f>
        <v>Viðbótarsparnaður - erfanleg heildareign (0 ára)</v>
      </c>
      <c r="G45" s="67">
        <f ca="1">Reikningur!D53</f>
        <v>0</v>
      </c>
      <c r="K45" s="43" t="str">
        <f>+Reikningur!C60</f>
        <v>Viðbótarsparnaður - erfanleg heildareign (0 ára)</v>
      </c>
      <c r="L45" s="67">
        <f ca="1">+Reikningur!D60</f>
        <v>0</v>
      </c>
    </row>
    <row r="46" spans="2:12" ht="15.5" x14ac:dyDescent="0.35">
      <c r="B46" s="55"/>
      <c r="F46" s="51" t="str">
        <f>Reikningur!C54</f>
        <v>Erfanleg séreign samtals (0 ára)</v>
      </c>
      <c r="G46" s="99">
        <f ca="1">G44+G45+G43</f>
        <v>0</v>
      </c>
      <c r="K46" s="51" t="str">
        <f>+Reikningur!C61</f>
        <v>Erfanleg séreign samtals (0 ára)</v>
      </c>
      <c r="L46" s="99">
        <f ca="1">L44+L45+L43</f>
        <v>0</v>
      </c>
    </row>
    <row r="47" spans="2:12" ht="15" customHeight="1" x14ac:dyDescent="0.35">
      <c r="G47" s="54"/>
      <c r="H47" s="54"/>
      <c r="I47" s="54"/>
      <c r="J47" s="54"/>
    </row>
    <row r="48" spans="2:12" ht="15.75" customHeight="1" x14ac:dyDescent="0.35"/>
    <row r="50" spans="3:11" ht="14.5" customHeight="1" x14ac:dyDescent="0.35">
      <c r="C50" s="106"/>
    </row>
    <row r="51" spans="3:11" ht="15" customHeight="1" x14ac:dyDescent="0.35"/>
    <row r="52" spans="3:11" ht="17.149999999999999" customHeight="1" x14ac:dyDescent="0.35">
      <c r="G52" s="54"/>
      <c r="I52" s="54"/>
      <c r="J52" s="54"/>
      <c r="K52" s="54"/>
    </row>
    <row r="55" spans="3:11" ht="15" customHeight="1" x14ac:dyDescent="0.35"/>
    <row r="56" spans="3:11" ht="15.75" customHeight="1" x14ac:dyDescent="0.35"/>
    <row r="68" spans="7:11" x14ac:dyDescent="0.35">
      <c r="K68" s="54"/>
    </row>
    <row r="72" spans="7:11" x14ac:dyDescent="0.35">
      <c r="G72" s="53"/>
    </row>
  </sheetData>
  <sheetProtection sheet="1" selectLockedCells="1"/>
  <mergeCells count="9">
    <mergeCell ref="B20:B30"/>
    <mergeCell ref="F40:G41"/>
    <mergeCell ref="C4:G4"/>
    <mergeCell ref="K40:L41"/>
    <mergeCell ref="C31:D32"/>
    <mergeCell ref="C37:D38"/>
    <mergeCell ref="C10:D11"/>
    <mergeCell ref="C20:D21"/>
    <mergeCell ref="C5:G5"/>
  </mergeCells>
  <conditionalFormatting sqref="D39">
    <cfRule type="expression" dxfId="1" priority="2">
      <formula>$D$18="Leið 4"</formula>
    </cfRule>
  </conditionalFormatting>
  <conditionalFormatting sqref="D34">
    <cfRule type="expression" dxfId="0" priority="1">
      <formula>$D$18="Leið 1"</formula>
    </cfRule>
  </conditionalFormatting>
  <dataValidations count="3">
    <dataValidation type="decimal" allowBlank="1" showInputMessage="1" showErrorMessage="1" sqref="D31:D32 D20:D21" xr:uid="{09BB9BF5-310D-403D-A6BC-1BBCAE499350}">
      <formula1>0.01</formula1>
      <formula2>0.1</formula2>
    </dataValidation>
    <dataValidation type="decimal" allowBlank="1" showInputMessage="1" showErrorMessage="1" sqref="D15" xr:uid="{38D01E1A-AB68-4808-AC4B-52038ADEAA66}">
      <formula1>0</formula1>
      <formula2>10000000</formula2>
    </dataValidation>
    <dataValidation type="decimal" allowBlank="1" showInputMessage="1" showErrorMessage="1" sqref="D64:D68 G42:G45 L42:L45" xr:uid="{EBB2D6CC-39F2-42BE-9FE6-CB8DEB3DC69B}">
      <formula1>0</formula1>
      <formula2>10000000000</formula2>
    </dataValidation>
  </dataValidations>
  <pageMargins left="0.7" right="0.7" top="0.75" bottom="0.75" header="0.3" footer="0.3"/>
  <pageSetup paperSize="9" scale="43" orientation="landscape" r:id="rId1"/>
  <ignoredErrors>
    <ignoredError sqref="D13"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r:uid="{DBD1FFBE-D260-4568-A6DF-23ED963910FE}">
          <x14:formula1>
            <xm:f>'Frjálsa leiðin'!$C$2:$BN$2</xm:f>
          </x14:formula1>
          <xm:sqref>D12</xm:sqref>
        </x14:dataValidation>
        <x14:dataValidation type="list" allowBlank="1" showInputMessage="1" showErrorMessage="1" xr:uid="{73E66F5B-16CD-486B-B03B-440A7C82E25B}">
          <x14:formula1>
            <xm:f>Reikningur!$K$6:$K$36</xm:f>
          </x14:formula1>
          <xm:sqref>D45 D43</xm:sqref>
        </x14:dataValidation>
        <x14:dataValidation type="list" allowBlank="1" showInputMessage="1" showErrorMessage="1" xr:uid="{9BCE585A-C9C0-4B8E-86A0-4A9FCEAE8E01}">
          <x14:formula1>
            <xm:f>Reikningur!$AR$25:$AR$45</xm:f>
          </x14:formula1>
          <xm:sqref>D14</xm:sqref>
        </x14:dataValidation>
        <x14:dataValidation type="list" allowBlank="1" showInputMessage="1" showErrorMessage="1" xr:uid="{C93D8657-5CAD-4CAF-8238-354BC5C4FC01}">
          <x14:formula1>
            <xm:f>Reikningur!$AQ$26:$AQ$28</xm:f>
          </x14:formula1>
          <xm:sqref>D16</xm:sqref>
        </x14:dataValidation>
        <x14:dataValidation type="list" allowBlank="1" showInputMessage="1" showErrorMessage="1" xr:uid="{2083A47F-41EB-4BFE-B2EA-532B6B2168A9}">
          <x14:formula1>
            <xm:f>Reikningur!$AT$26:$AT$44</xm:f>
          </x14:formula1>
          <xm:sqref>D17</xm:sqref>
        </x14:dataValidation>
        <x14:dataValidation type="list" allowBlank="1" showInputMessage="1" showErrorMessage="1" xr:uid="{A4ADC4FE-AE1D-4976-B0E4-88D1B2B6936E}">
          <x14:formula1>
            <xm:f>Reikningur!$AU$26:$AU$29</xm:f>
          </x14:formula1>
          <xm:sqref>D18</xm:sqref>
        </x14:dataValidation>
        <x14:dataValidation type="list" allowBlank="1" showInputMessage="1" showErrorMessage="1" xr:uid="{1EC6D681-0ED4-45ED-94A9-4089BF79020F}">
          <x14:formula1>
            <xm:f>Reikningur!$AO$26:$AO$51</xm:f>
          </x14:formula1>
          <xm:sqref>D39</xm:sqref>
        </x14:dataValidation>
        <x14:dataValidation type="list" allowBlank="1" showInputMessage="1" showErrorMessage="1" xr:uid="{22D8260A-54D4-4E9F-8906-E862150EE7D4}">
          <x14:formula1>
            <xm:f>Reikningur!$AP$26:$AP$51</xm:f>
          </x14:formula1>
          <xm:sqref>D40</xm:sqref>
        </x14:dataValidation>
        <x14:dataValidation type="list" allowBlank="1" showInputMessage="1" showErrorMessage="1" xr:uid="{B43EE3E2-CBB3-436B-A6D7-897997D1E660}">
          <x14:formula1>
            <xm:f>Reikningur!$AO$26:$AO$46</xm:f>
          </x14:formula1>
          <xm:sqref>D42 D44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1CB3E0-4EF5-4EE9-B4E9-FEB4AB5A10D8}">
  <sheetPr>
    <pageSetUpPr fitToPage="1"/>
  </sheetPr>
  <dimension ref="C4:X84"/>
  <sheetViews>
    <sheetView topLeftCell="A12" zoomScale="105" zoomScaleNormal="85" workbookViewId="0">
      <selection activeCell="F34" sqref="F34"/>
    </sheetView>
  </sheetViews>
  <sheetFormatPr defaultColWidth="8.7265625" defaultRowHeight="14.5" x14ac:dyDescent="0.35"/>
  <cols>
    <col min="1" max="2" width="8.7265625" style="41"/>
    <col min="3" max="3" width="55.81640625" style="41" customWidth="1"/>
    <col min="4" max="4" width="18.453125" style="41" bestFit="1" customWidth="1"/>
    <col min="5" max="5" width="13.54296875" style="41" customWidth="1"/>
    <col min="6" max="6" width="7.26953125" style="41" customWidth="1"/>
    <col min="7" max="7" width="36.08984375" style="41" bestFit="1" customWidth="1"/>
    <col min="8" max="8" width="27.54296875" style="41" bestFit="1" customWidth="1"/>
    <col min="9" max="9" width="35.7265625" style="41" bestFit="1" customWidth="1"/>
    <col min="10" max="10" width="34.7265625" style="41" bestFit="1" customWidth="1"/>
    <col min="11" max="11" width="8.54296875" style="41" customWidth="1"/>
    <col min="12" max="12" width="10.81640625" style="41" customWidth="1"/>
    <col min="13" max="13" width="5.81640625" style="41" customWidth="1"/>
    <col min="14" max="14" width="30.1796875" style="41" bestFit="1" customWidth="1"/>
    <col min="15" max="15" width="27.54296875" style="41" bestFit="1" customWidth="1"/>
    <col min="16" max="16" width="35.7265625" style="41" bestFit="1" customWidth="1"/>
    <col min="17" max="17" width="37.81640625" style="41" customWidth="1"/>
    <col min="18" max="18" width="22.81640625" style="41" bestFit="1" customWidth="1"/>
    <col min="19" max="19" width="14.54296875" style="41" bestFit="1" customWidth="1"/>
    <col min="20" max="20" width="8.7265625" style="41"/>
    <col min="21" max="21" width="103.26953125" style="41" customWidth="1"/>
    <col min="22" max="16384" width="8.7265625" style="41"/>
  </cols>
  <sheetData>
    <row r="4" spans="3:21" x14ac:dyDescent="0.35">
      <c r="O4" s="53"/>
    </row>
    <row r="5" spans="3:21" x14ac:dyDescent="0.35">
      <c r="F5" s="55" t="str">
        <f ca="1">"Bundin séreign: " &amp; IF(OR($D$52=0,ISBLANK($D$52)),"0",TEXT(ROUND($D$52,0),"#.##")) &amp; " kr." &amp; CHAR(10) &amp; "Frjáls séreign: " &amp; IF(OR($D$53=0,ISBLANK($D$53)),"0",TEXT(ROUND($D$53,0),"#.##")) &amp; " kr." &amp; CHAR(10) &amp; "Viðbótarsparnaður: " &amp; IF(OR($D$51=0,ISBLANK($D$51)),"0",TEXT(ROUND($D$51,0),"#.##")) &amp; " kr." &amp; CHAR(10) &amp; "Erfanleg eign samtals: " &amp; IF(OR($D$54=0,ISBLANK($D$54)),"0",TEXT(ROUND($D$54,0),"#.##")) &amp; " kr."</f>
        <v>Bundin séreign: 0 kr.
Frjáls séreign: 0 kr.
Viðbótarsparnaður: 0 kr.
Erfanleg eign samtals: 0 kr.</v>
      </c>
      <c r="M5" s="55" t="e">
        <f ca="1">"Bundin séreign: " &amp; IF(OR($D$61=0,ISBLANK($D$61)),"0",TEXT(ROUND($D$61,0),"#.##")) &amp; " kr." &amp; CHAR(10) &amp; "Frjáls séreign: " &amp; IF(OR($D$62=0,ISBLANK($D$62)),"0",TEXT(ROUND($D$62,0),"#.##")) &amp; " kr." &amp; CHAR(10) &amp; "Viðbótarsparnaður: " &amp; IF(OR($D$60=0,ISBLANK($D$60)),"0",TEXT(ROUND($D$60,0),"#.##")) &amp; " kr." &amp; CHAR(10) &amp; "Erfanleg eign samtals: " &amp; IF(OR(#REF!=0,ISBLANK(#REF!)),"0",TEXT(ROUND(#REF!,0),"#.##")) &amp; " kr."</f>
        <v>#REF!</v>
      </c>
      <c r="P5" s="53"/>
    </row>
    <row r="8" spans="3:21" x14ac:dyDescent="0.35">
      <c r="U8" s="54"/>
    </row>
    <row r="9" spans="3:21" x14ac:dyDescent="0.35">
      <c r="C9" s="126" t="s">
        <v>3</v>
      </c>
      <c r="D9" s="127"/>
    </row>
    <row r="10" spans="3:21" ht="15" thickBot="1" x14ac:dyDescent="0.4">
      <c r="C10" s="128"/>
      <c r="D10" s="129"/>
    </row>
    <row r="11" spans="3:21" x14ac:dyDescent="0.35">
      <c r="C11" s="43" t="str">
        <f>Reikningur!C8</f>
        <v>Fæðingarár</v>
      </c>
      <c r="D11" s="57">
        <f>+Reikningur!D8</f>
        <v>1970</v>
      </c>
    </row>
    <row r="12" spans="3:21" x14ac:dyDescent="0.35">
      <c r="C12" s="43" t="str">
        <f>Reikningur!C9</f>
        <v>Aldur í dag</v>
      </c>
      <c r="D12" s="58">
        <f ca="1">+Reikningur!D9</f>
        <v>55</v>
      </c>
    </row>
    <row r="13" spans="3:21" x14ac:dyDescent="0.35">
      <c r="C13" s="43" t="str">
        <f>Reikningur!C10</f>
        <v>Áætlaður starfslokaaldur</v>
      </c>
      <c r="D13" s="58">
        <f>+Reikningur!D10</f>
        <v>0</v>
      </c>
    </row>
    <row r="14" spans="3:21" x14ac:dyDescent="0.35">
      <c r="C14" s="43" t="str">
        <f>Reikningur!C11</f>
        <v>Núverandi atvinnutekjur á mánuði, f. skatt</v>
      </c>
      <c r="D14" s="94">
        <f>+Reikningur!D11</f>
        <v>0</v>
      </c>
    </row>
    <row r="15" spans="3:21" x14ac:dyDescent="0.35">
      <c r="C15" s="43" t="str">
        <f>Reikningur!C12</f>
        <v>Viðbótariðgjald 2% eða 4%</v>
      </c>
      <c r="D15" s="95">
        <f>+Reikningur!D12</f>
        <v>0</v>
      </c>
    </row>
    <row r="16" spans="3:21" x14ac:dyDescent="0.35">
      <c r="C16" s="43"/>
      <c r="D16" s="83"/>
    </row>
    <row r="17" spans="3:24" x14ac:dyDescent="0.35">
      <c r="C17" s="43" t="str">
        <f>Reikningur!C14</f>
        <v>Áætluð ávöxtun lífeyrissparnaðar</v>
      </c>
      <c r="D17" s="85">
        <f>+Reikningur!D14</f>
        <v>3.5000000000000003E-2</v>
      </c>
    </row>
    <row r="18" spans="3:24" x14ac:dyDescent="0.35">
      <c r="C18" s="126" t="str">
        <f>Reikningur!C17</f>
        <v>Framtíðariðgjöld mín</v>
      </c>
      <c r="D18" s="127"/>
    </row>
    <row r="19" spans="3:24" ht="15" thickBot="1" x14ac:dyDescent="0.4">
      <c r="C19" s="128"/>
      <c r="D19" s="129"/>
    </row>
    <row r="20" spans="3:24" ht="14.5" customHeight="1" x14ac:dyDescent="0.35">
      <c r="C20" s="44" t="str">
        <f>Reikningur!C19</f>
        <v>Hlutfall skylduiðgjalda sem greiðast í Frjálsu leiðina (15,5%)</v>
      </c>
      <c r="D20" s="96"/>
    </row>
    <row r="21" spans="3:24" ht="14.5" customHeight="1" x14ac:dyDescent="0.35">
      <c r="C21" s="43" t="str">
        <f>Reikningur!C20</f>
        <v>Samtrygging (8,75%)</v>
      </c>
      <c r="D21" s="46">
        <f>Reikningur!D20</f>
        <v>0</v>
      </c>
      <c r="T21" s="54"/>
      <c r="U21" s="54"/>
      <c r="V21" s="54"/>
      <c r="W21" s="54"/>
      <c r="X21" s="54"/>
    </row>
    <row r="22" spans="3:24" x14ac:dyDescent="0.35">
      <c r="C22" s="43" t="str">
        <f>Reikningur!C21</f>
        <v>Frjáls séreign (6,75%)</v>
      </c>
      <c r="D22" s="47">
        <f>Reikningur!D21</f>
        <v>0</v>
      </c>
    </row>
    <row r="23" spans="3:24" x14ac:dyDescent="0.35">
      <c r="C23" s="44" t="str">
        <f>Reikningur!C22</f>
        <v>Hlutfall skylduiðgjalda sem greiðast í Erfanlegu leiðina (15,5%)</v>
      </c>
      <c r="D23" s="96"/>
    </row>
    <row r="24" spans="3:24" x14ac:dyDescent="0.35">
      <c r="C24" s="43" t="str">
        <f>Reikningur!C23</f>
        <v>Samtrygging (3,7%)</v>
      </c>
      <c r="D24" s="47">
        <f>Reikningur!D23</f>
        <v>0</v>
      </c>
    </row>
    <row r="25" spans="3:24" x14ac:dyDescent="0.35">
      <c r="C25" s="43" t="str">
        <f>Reikningur!C24</f>
        <v>Bundin séreign (6,55%)</v>
      </c>
      <c r="D25" s="47">
        <f>Reikningur!D24</f>
        <v>0</v>
      </c>
    </row>
    <row r="26" spans="3:24" x14ac:dyDescent="0.35">
      <c r="C26" s="43" t="str">
        <f>Reikningur!C25</f>
        <v>Frjáls séreign (5,25%)</v>
      </c>
      <c r="D26" s="47">
        <f>Reikningur!D25</f>
        <v>0</v>
      </c>
      <c r="T26" s="54"/>
      <c r="V26" s="54"/>
      <c r="W26" s="54"/>
      <c r="X26" s="54"/>
    </row>
    <row r="27" spans="3:24" x14ac:dyDescent="0.35">
      <c r="C27" s="44" t="str">
        <f>Reikningur!C26</f>
        <v>Hlutfall iðgjalda sem greiðist í frjálsa séreign viðbótar (2%)</v>
      </c>
      <c r="D27" s="47"/>
    </row>
    <row r="28" spans="3:24" x14ac:dyDescent="0.35">
      <c r="C28" s="43" t="str">
        <f>Reikningur!C27</f>
        <v>Viðbótarlífeyrissparnaður (2%)</v>
      </c>
      <c r="D28" s="47">
        <f>Reikningur!D27</f>
        <v>0</v>
      </c>
      <c r="U28" s="54"/>
    </row>
    <row r="29" spans="3:24" x14ac:dyDescent="0.35">
      <c r="C29" s="50"/>
      <c r="D29" s="97"/>
    </row>
    <row r="30" spans="3:24" x14ac:dyDescent="0.35">
      <c r="C30" s="126" t="str">
        <f>Reikningur!C29</f>
        <v>Núverandi staða mín</v>
      </c>
      <c r="D30" s="127"/>
    </row>
    <row r="31" spans="3:24" ht="15" thickBot="1" x14ac:dyDescent="0.4">
      <c r="C31" s="128"/>
      <c r="D31" s="129"/>
      <c r="I31" s="91"/>
      <c r="T31" s="54"/>
      <c r="U31" s="54"/>
      <c r="V31" s="54"/>
      <c r="W31" s="54"/>
      <c r="X31" s="54"/>
    </row>
    <row r="32" spans="3:24" ht="16" thickBot="1" x14ac:dyDescent="0.4">
      <c r="C32" s="43" t="str">
        <f>Reikningur!C31</f>
        <v>Samtrygging úr LTFÍ - mánaðarleg réttindi</v>
      </c>
      <c r="D32" s="61">
        <f>+Reikningur!D31</f>
        <v>0</v>
      </c>
      <c r="F32" s="69" t="s">
        <v>6</v>
      </c>
      <c r="G32" s="70" t="str">
        <f ca="1">"Samtrygging " &amp; Reikningur!D16 &amp; " " &amp; IF(ROUND(D50,0)=0, "0", TEXT(ROUND(D50,0), "#.###")) &amp; " kr."</f>
        <v>Samtrygging Frjálsa leiðin 0 kr.</v>
      </c>
      <c r="H32" s="70" t="str">
        <f ca="1">"Bundin séreign " &amp; IF(ROUND(MAX(H33:H62),0)=0, "0", TEXT(ROUND(MAX(H33:H62),0), "#.###")) &amp; " kr."</f>
        <v>Bundin séreign 0 kr.</v>
      </c>
      <c r="I32" s="70" t="str">
        <f ca="1">"Frjáls séreign " &amp; IF(ROUND(MAX(I33:I62),0)=0, "0", TEXT(ROUND(MAX(I33:I62),0), "#.###")) &amp; " kr."</f>
        <v>Frjáls séreign 0 kr.</v>
      </c>
      <c r="J32" s="71" t="str">
        <f ca="1">"Viðbótarsparnaður " &amp; IF(ROUND(MAX(J33:J62),0)=0, "0", TEXT(ROUND(MAX(J33:J62),0), "#.###")) &amp; " kr."</f>
        <v>Viðbótarsparnaður 0 kr.</v>
      </c>
      <c r="M32" s="69" t="s">
        <v>6</v>
      </c>
      <c r="N32" s="70" t="str">
        <f>"Samtrygging " &amp; Reikningur!D16 &amp; " " &amp; IF(ROUND(D58,0)=0, "0", TEXT(ROUND(D58,0), "#.###")) &amp; " kr."</f>
        <v>Samtrygging Frjálsa leiðin 0 kr.</v>
      </c>
      <c r="O32" s="72" t="str">
        <f ca="1">"Bundin séreign " &amp; IF(ROUND(MAX(O33:O62),0)=0, "0", TEXT(ROUND(MAX(O33:O62),0), "#.###")) &amp; " kr."</f>
        <v>Bundin séreign 0 kr.</v>
      </c>
      <c r="P32" s="70" t="str">
        <f ca="1">"Frjáls séreign " &amp; IF(ROUND(MAX(P33:P62),0)=0, "0", TEXT(ROUND(MAX(P33:P62),0), "#.###")) &amp; " kr."</f>
        <v>Frjáls séreign 0 kr.</v>
      </c>
      <c r="Q32" s="71" t="str">
        <f ca="1">"Frjáls séreign úr viðbót " &amp; IF(ROUND(MAX(Q33:Q62),0)=0, "0", TEXT(ROUND(MAX(Q33:Q62),0), "#.###")) &amp; " kr."</f>
        <v>Frjáls séreign úr viðbót 0 kr.</v>
      </c>
    </row>
    <row r="33" spans="3:24" x14ac:dyDescent="0.35">
      <c r="C33" s="43" t="str">
        <f>Reikningur!C32</f>
        <v>Bundin séreign - erfanleg heildareign</v>
      </c>
      <c r="D33" s="61">
        <f>+Reikningur!D32</f>
        <v>0</v>
      </c>
      <c r="F33" s="4">
        <f>MIN(IF(D39&lt;&gt;0,D39,100),IF(D43&lt;&gt;0,D43,100),IF(D45&lt;&gt;0,D45,100))</f>
        <v>100</v>
      </c>
      <c r="G33" s="25">
        <f ca="1">$D$50 * (F33&gt;=$D$39)</f>
        <v>0</v>
      </c>
      <c r="H33" s="25">
        <f ca="1">IFERROR(((IF(Reikningur!$D$16="Frjálsa leiðin",Reikningur!$AL$39,Reikningur!$AL$40)*m_r*(1+m_r)^(12*($D$39-$D$40)))/((1+m_r)^(12*($D$39-$D$40))-1)*(F33&lt;$D$39)*(F33&gt;=$D$40)),0)</f>
        <v>0</v>
      </c>
      <c r="I33" s="25">
        <f ca="1">IFERROR(((IF(Reikningur!$D$16="Frjálsa leiðin",Reikningur!$AM$21,Reikningur!$AM$22)*m_r*(1+m_r)^(D44*12))/((1+m_r)^(D44*12)-1)) * (F33&gt;=$D$43),0)</f>
        <v>0</v>
      </c>
      <c r="J33" s="22">
        <f ca="1">IFERROR(((Reikningur!$AL$61*m_r*(1+m_r)^(D46*12))/((1+m_r)^(D46*12)-1))*(F33&gt;=$D$45),0)</f>
        <v>0</v>
      </c>
      <c r="M33" s="4">
        <f>F33</f>
        <v>100</v>
      </c>
      <c r="N33" s="25">
        <f t="shared" ref="N33:N62" si="0">$D$58 * (M33&gt;=$D$39)</f>
        <v>0</v>
      </c>
      <c r="O33" s="25">
        <f ca="1">IFERROR(((IF(Reikningur!$D$16="Frjálsa leiðin",Reikningur!$AJ$39,Reikningur!$AJ$40)*m_r*(1+m_r)^(12*($D$39-$D$40)))/((1+m_r)^(12*($D$39-$D$40))-1)*(F33&lt;$D$39)*(F33&gt;=$D$40)),0)</f>
        <v>0</v>
      </c>
      <c r="P33" s="25">
        <f ca="1">IFERROR(((IF(Reikningur!$D$16="Frjálsa leiðin",Reikningur!$AJ$21,Reikningur!$AJ$22)*m_r*(1+m_r)^(D44*12))/((1+m_r)^(D44*12)-1)) * (M33&gt;=$D$43),0)</f>
        <v>0</v>
      </c>
      <c r="Q33" s="22">
        <f ca="1">IFERROR(((Reikningur!$AJ$61*m_r*(1+m_r)^(D46*12))/((1+m_r)^(D46*12)-1)) * (M33&gt;=$D$45),0)</f>
        <v>0</v>
      </c>
    </row>
    <row r="34" spans="3:24" x14ac:dyDescent="0.35">
      <c r="C34" s="43" t="str">
        <f>Reikningur!C33</f>
        <v xml:space="preserve">Frjáls séreign - erfanleg heildareign </v>
      </c>
      <c r="D34" s="61">
        <f>+Reikningur!D33</f>
        <v>0</v>
      </c>
      <c r="F34" s="4">
        <f t="shared" ref="F34:F62" si="1">F33+1</f>
        <v>101</v>
      </c>
      <c r="G34" s="25">
        <f t="shared" ref="G34:G62" ca="1" si="2">$D$50 * (F34&gt;=$D$39)</f>
        <v>0</v>
      </c>
      <c r="H34" s="25">
        <f ca="1">IFERROR(((IF(Reikningur!$D$16="Frjálsa leiðin",Reikningur!$AL$39,Reikningur!$AL$40)*m_r*(1+m_r)^(12*($D$39-$D$40)))/((1+m_r)^(12*($D$39-$D$40))-1)*(F34&lt;$D$39)*(F34&gt;=$D$40)),0)</f>
        <v>0</v>
      </c>
      <c r="I34" s="25">
        <f ca="1">IFERROR(((IF(Reikningur!$D$16="Frjálsa leiðin",Reikningur!$AM$21,Reikningur!$AM$22)*m_r*(1+m_r)^($D$44*12))/((1+m_r)^($D$44*12)-1)) * (F34&gt;=$D$43)*(COUNTIF($I$33:I33,"&gt;0")&lt;$D$44),0)</f>
        <v>0</v>
      </c>
      <c r="J34" s="22">
        <f ca="1">IFERROR(((Reikningur!$AL$61*m_r*(1+m_r)^($D$46*12))/((1+m_r)^($D$46*12)-1)) * (F34&gt;=$D$45)*(COUNTIF($J$33:J33,"&gt;0")&lt;$D$46),0)</f>
        <v>0</v>
      </c>
      <c r="M34" s="4">
        <f t="shared" ref="M34:M62" si="3">M33+1</f>
        <v>101</v>
      </c>
      <c r="N34" s="25">
        <f t="shared" si="0"/>
        <v>0</v>
      </c>
      <c r="O34" s="25">
        <f ca="1">IFERROR(((IF(Reikningur!$D$16="Frjálsa leiðin",Reikningur!$AJ$39,Reikningur!$AJ$40)*m_r*(1+m_r)^(12*($D$39-$D$40)))/((1+m_r)^(12*($D$39-$D$40))-1)*(F34&lt;$D$39)*(F34&gt;=$D$40)),0)</f>
        <v>0</v>
      </c>
      <c r="P34" s="25">
        <f ca="1">IFERROR(((IF(Reikningur!$D$16="Frjálsa leiðin",Reikningur!$AJ$21,Reikningur!$AJ$22)*m_r*(1+m_r)^($D$44*12))/((1+m_r)^($D$44*12)-1)) * (M33&gt;=$D$43)*(COUNTIF($P$33:P33,"&gt;0")&lt;$D$44),0)</f>
        <v>0</v>
      </c>
      <c r="Q34" s="22">
        <f ca="1">IFERROR(((Reikningur!$AJ$61*m_r*(1+m_r)^($D$46*12))/((1+m_r)^($D$46*12)-1)) * (M34&gt;=$D$45)*(COUNTIF($Q$33:Q33,"&gt;0")&lt;$D$46),0)</f>
        <v>0</v>
      </c>
    </row>
    <row r="35" spans="3:24" x14ac:dyDescent="0.35">
      <c r="C35" s="43" t="str">
        <f>Reikningur!C34</f>
        <v>Viðbótarsparnaður - erfanleg heildareign</v>
      </c>
      <c r="D35" s="61">
        <f>+Reikningur!D34</f>
        <v>0</v>
      </c>
      <c r="F35" s="4">
        <f t="shared" si="1"/>
        <v>102</v>
      </c>
      <c r="G35" s="25">
        <f t="shared" ca="1" si="2"/>
        <v>0</v>
      </c>
      <c r="H35" s="25">
        <f ca="1">IFERROR(((IF(Reikningur!$D$16="Frjálsa leiðin",Reikningur!$AL$39,Reikningur!$AL$40)*m_r*(1+m_r)^(12*($D$39-$D$40)))/((1+m_r)^(12*($D$39-$D$40))-1)*(F35&lt;$D$39)*(F35&gt;=$D$40)),0)</f>
        <v>0</v>
      </c>
      <c r="I35" s="25">
        <f ca="1">IFERROR(((IF(Reikningur!$D$16="Frjálsa leiðin",Reikningur!$AM$21,Reikningur!$AM$22)*m_r*(1+m_r)^($D$44*12))/((1+m_r)^($D$44*12)-1)) * (F35&gt;=$D$43)*(COUNTIF($I$33:I34,"&gt;0")&lt;$D$44),0)</f>
        <v>0</v>
      </c>
      <c r="J35" s="22">
        <f ca="1">IFERROR(((Reikningur!$AL$61*m_r*(1+m_r)^($D$46*12))/((1+m_r)^($D$46*12)-1)) * (F35&gt;=$D$45)*(COUNTIF($J$33:J34,"&gt;0")&lt;$D$46),0)</f>
        <v>0</v>
      </c>
      <c r="M35" s="4">
        <f t="shared" si="3"/>
        <v>102</v>
      </c>
      <c r="N35" s="25">
        <f t="shared" si="0"/>
        <v>0</v>
      </c>
      <c r="O35" s="25">
        <f ca="1">IFERROR(((IF(Reikningur!$D$16="Frjálsa leiðin",Reikningur!$AJ$39,Reikningur!$AJ$40)*m_r*(1+m_r)^(12*($D$39-$D$40)))/((1+m_r)^(12*($D$39-$D$40))-1)*(F35&lt;$D$39)*(F35&gt;=$D$40)),0)</f>
        <v>0</v>
      </c>
      <c r="P35" s="25">
        <f ca="1">IFERROR(((IF(Reikningur!$D$16="Frjálsa leiðin",Reikningur!$AJ$21,Reikningur!$AJ$22)*m_r*(1+m_r)^($D$44*12))/((1+m_r)^($D$44*12)-1)) * (M34&gt;=$D$43)*(COUNTIF($P$33:P34,"&gt;0")&lt;$D$44),0)</f>
        <v>0</v>
      </c>
      <c r="Q35" s="22">
        <f ca="1">IFERROR(((Reikningur!$AJ$61*m_r*(1+m_r)^($D$46*12))/((1+m_r)^($D$46*12)-1)) * (M35&gt;=$D$45)*(COUNTIF($Q$33:Q34,"&gt;0")&lt;$D$46),0)</f>
        <v>0</v>
      </c>
    </row>
    <row r="36" spans="3:24" x14ac:dyDescent="0.35">
      <c r="C36" s="43"/>
      <c r="D36" s="61"/>
      <c r="F36" s="4">
        <f t="shared" si="1"/>
        <v>103</v>
      </c>
      <c r="G36" s="25">
        <f t="shared" ca="1" si="2"/>
        <v>0</v>
      </c>
      <c r="H36" s="25">
        <f ca="1">IFERROR(((IF(Reikningur!$D$16="Frjálsa leiðin",Reikningur!$AL$39,Reikningur!$AL$40)*m_r*(1+m_r)^(12*($D$39-$D$40)))/((1+m_r)^(12*($D$39-$D$40))-1)*(F36&lt;$D$39)*(F36&gt;=$D$40)),0)</f>
        <v>0</v>
      </c>
      <c r="I36" s="25">
        <f ca="1">IFERROR(((IF(Reikningur!$D$16="Frjálsa leiðin",Reikningur!$AM$21,Reikningur!$AM$22)*m_r*(1+m_r)^($D$44*12))/((1+m_r)^($D$44*12)-1)) * (F36&gt;=$D$43)*(COUNTIF($I$33:I35,"&gt;0")&lt;$D$44),0)</f>
        <v>0</v>
      </c>
      <c r="J36" s="22">
        <f ca="1">IFERROR(((Reikningur!$AL$61*m_r*(1+m_r)^($D$46*12))/((1+m_r)^($D$46*12)-1)) * (F36&gt;=$D$45)*(COUNTIF($J$33:J35,"&gt;0")&lt;$D$46),0)</f>
        <v>0</v>
      </c>
      <c r="M36" s="4">
        <f t="shared" si="3"/>
        <v>103</v>
      </c>
      <c r="N36" s="25">
        <f t="shared" si="0"/>
        <v>0</v>
      </c>
      <c r="O36" s="25">
        <f ca="1">IFERROR(((IF(Reikningur!$D$16="Frjálsa leiðin",Reikningur!$AJ$39,Reikningur!$AJ$40)*m_r*(1+m_r)^(12*($D$39-$D$40)))/((1+m_r)^(12*($D$39-$D$40))-1)*(F36&lt;$D$39)*(F36&gt;=$D$40)),0)</f>
        <v>0</v>
      </c>
      <c r="P36" s="25">
        <f ca="1">IFERROR(((IF(Reikningur!$D$16="Frjálsa leiðin",Reikningur!$AJ$21,Reikningur!$AJ$22)*m_r*(1+m_r)^($D$44*12))/((1+m_r)^($D$44*12)-1)) * (M35&gt;=$D$43)*(COUNTIF($P$33:P35,"&gt;0")&lt;$D$44),0)</f>
        <v>0</v>
      </c>
      <c r="Q36" s="22">
        <f ca="1">IFERROR(((Reikningur!$AJ$61*m_r*(1+m_r)^($D$46*12))/((1+m_r)^($D$46*12)-1)) * (M36&gt;=$D$45)*(COUNTIF($Q$33:Q35,"&gt;0")&lt;$D$46),0)</f>
        <v>0</v>
      </c>
      <c r="T36" s="54"/>
      <c r="U36" s="54"/>
      <c r="V36" s="54"/>
      <c r="W36" s="54"/>
      <c r="X36" s="54"/>
    </row>
    <row r="37" spans="3:24" x14ac:dyDescent="0.35">
      <c r="C37" s="126" t="str">
        <f>Reikningur!C35</f>
        <v>Útgreiðslutími og aldur</v>
      </c>
      <c r="D37" s="127"/>
      <c r="F37" s="4">
        <f t="shared" si="1"/>
        <v>104</v>
      </c>
      <c r="G37" s="25">
        <f t="shared" ca="1" si="2"/>
        <v>0</v>
      </c>
      <c r="H37" s="25">
        <f ca="1">IFERROR(((IF(Reikningur!$D$16="Frjálsa leiðin",Reikningur!$AL$39,Reikningur!$AL$40)*m_r*(1+m_r)^(12*($D$39-$D$40)))/((1+m_r)^(12*($D$39-$D$40))-1)*(F37&lt;$D$39)*(F37&gt;=$D$40)),0)</f>
        <v>0</v>
      </c>
      <c r="I37" s="25">
        <f ca="1">IFERROR(((IF(Reikningur!$D$16="Frjálsa leiðin",Reikningur!$AM$21,Reikningur!$AM$22)*m_r*(1+m_r)^($D$44*12))/((1+m_r)^($D$44*12)-1)) * (F37&gt;=$D$43)*(COUNTIF($I$33:I36,"&gt;0")&lt;$D$44),0)</f>
        <v>0</v>
      </c>
      <c r="J37" s="22">
        <f ca="1">IFERROR(((Reikningur!$AL$61*m_r*(1+m_r)^($D$46*12))/((1+m_r)^($D$46*12)-1)) * (F37&gt;=$D$45)*(COUNTIF($J$33:J36,"&gt;0")&lt;$D$46),0)</f>
        <v>0</v>
      </c>
      <c r="M37" s="4">
        <f t="shared" si="3"/>
        <v>104</v>
      </c>
      <c r="N37" s="25">
        <f t="shared" si="0"/>
        <v>0</v>
      </c>
      <c r="O37" s="25">
        <f ca="1">IFERROR(((IF(Reikningur!$D$16="Frjálsa leiðin",Reikningur!$AJ$39,Reikningur!$AJ$40)*m_r*(1+m_r)^(12*($D$39-$D$40)))/((1+m_r)^(12*($D$39-$D$40))-1)*(F37&lt;$D$39)*(F37&gt;=$D$40)),0)</f>
        <v>0</v>
      </c>
      <c r="P37" s="25">
        <f ca="1">IFERROR(((IF(Reikningur!$D$16="Frjálsa leiðin",Reikningur!$AJ$21,Reikningur!$AJ$22)*m_r*(1+m_r)^($D$44*12))/((1+m_r)^($D$44*12)-1)) * (M36&gt;=$D$43)*(COUNTIF($P$33:P36,"&gt;0")&lt;$D$44),0)</f>
        <v>0</v>
      </c>
      <c r="Q37" s="22">
        <f ca="1">IFERROR(((Reikningur!$AJ$61*m_r*(1+m_r)^($D$46*12))/((1+m_r)^($D$46*12)-1)) * (M37&gt;=$D$45)*(COUNTIF($Q$33:Q36,"&gt;0")&lt;$D$46),0)</f>
        <v>0</v>
      </c>
    </row>
    <row r="38" spans="3:24" ht="14.5" customHeight="1" thickBot="1" x14ac:dyDescent="0.4">
      <c r="C38" s="128"/>
      <c r="D38" s="129"/>
      <c r="F38" s="4">
        <f t="shared" si="1"/>
        <v>105</v>
      </c>
      <c r="G38" s="25">
        <f t="shared" ca="1" si="2"/>
        <v>0</v>
      </c>
      <c r="H38" s="25">
        <f ca="1">IFERROR(((IF(Reikningur!$D$16="Frjálsa leiðin",Reikningur!$AL$39,Reikningur!$AL$40)*m_r*(1+m_r)^(12*($D$39-$D$40)))/((1+m_r)^(12*($D$39-$D$40))-1)*(F38&lt;$D$39)*(F38&gt;=$D$40)),0)</f>
        <v>0</v>
      </c>
      <c r="I38" s="25">
        <f ca="1">IFERROR(((IF(Reikningur!$D$16="Frjálsa leiðin",Reikningur!$AM$21,Reikningur!$AM$22)*m_r*(1+m_r)^($D$44*12))/((1+m_r)^($D$44*12)-1)) * (F38&gt;=$D$43)*(COUNTIF($I$33:I37,"&gt;0")&lt;$D$44),0)</f>
        <v>0</v>
      </c>
      <c r="J38" s="22">
        <f ca="1">IFERROR(((Reikningur!$AL$61*m_r*(1+m_r)^($D$46*12))/((1+m_r)^($D$46*12)-1)) * (F38&gt;=$D$45)*(COUNTIF($J$33:J37,"&gt;0")&lt;$D$46),0)</f>
        <v>0</v>
      </c>
      <c r="M38" s="4">
        <f t="shared" si="3"/>
        <v>105</v>
      </c>
      <c r="N38" s="25">
        <f t="shared" si="0"/>
        <v>0</v>
      </c>
      <c r="O38" s="25">
        <f ca="1">IFERROR(((IF(Reikningur!$D$16="Frjálsa leiðin",Reikningur!$AJ$39,Reikningur!$AJ$40)*m_r*(1+m_r)^(12*($D$39-$D$40)))/((1+m_r)^(12*($D$39-$D$40))-1)*(F38&lt;$D$39)*(F38&gt;=$D$40)),0)</f>
        <v>0</v>
      </c>
      <c r="P38" s="25">
        <f ca="1">IFERROR(((IF(Reikningur!$D$16="Frjálsa leiðin",Reikningur!$AJ$21,Reikningur!$AJ$22)*m_r*(1+m_r)^($D$44*12))/((1+m_r)^($D$44*12)-1)) * (M37&gt;=$D$43)*(COUNTIF($P$33:P37,"&gt;0")&lt;$D$44),0)</f>
        <v>0</v>
      </c>
      <c r="Q38" s="22">
        <f ca="1">IFERROR(((Reikningur!$AJ$61*m_r*(1+m_r)^($D$46*12))/((1+m_r)^($D$46*12)-1)) * (M38&gt;=$D$45)*(COUNTIF($Q$33:Q37,"&gt;0")&lt;$D$46),0)</f>
        <v>0</v>
      </c>
    </row>
    <row r="39" spans="3:24" ht="14.5" customHeight="1" x14ac:dyDescent="0.35">
      <c r="C39" s="43" t="str">
        <f>+Reikningur!C37</f>
        <v>Útgreiðslur samtrygging Frjálsu leiðarinnar hefjast</v>
      </c>
      <c r="D39" s="58">
        <f>+Reikningur!D37</f>
        <v>0</v>
      </c>
      <c r="F39" s="4">
        <f t="shared" si="1"/>
        <v>106</v>
      </c>
      <c r="G39" s="25">
        <f t="shared" ca="1" si="2"/>
        <v>0</v>
      </c>
      <c r="H39" s="25">
        <f ca="1">IFERROR(((IF(Reikningur!$D$16="Frjálsa leiðin",Reikningur!$AL$39,Reikningur!$AL$40)*m_r*(1+m_r)^(12*($D$39-$D$40)))/((1+m_r)^(12*($D$39-$D$40))-1)*(F39&lt;$D$39)*(F39&gt;=$D$40)),0)</f>
        <v>0</v>
      </c>
      <c r="I39" s="25">
        <f ca="1">IFERROR(((IF(Reikningur!$D$16="Frjálsa leiðin",Reikningur!$AM$21,Reikningur!$AM$22)*m_r*(1+m_r)^($D$44*12))/((1+m_r)^($D$44*12)-1)) * (F39&gt;=$D$43)*(COUNTIF($I$33:I38,"&gt;0")&lt;$D$44),0)</f>
        <v>0</v>
      </c>
      <c r="J39" s="22">
        <f ca="1">IFERROR(((Reikningur!$AL$61*m_r*(1+m_r)^($D$46*12))/((1+m_r)^($D$46*12)-1)) * (F39&gt;=$D$45)*(COUNTIF($J$33:J38,"&gt;0")&lt;$D$46),0)</f>
        <v>0</v>
      </c>
      <c r="M39" s="4">
        <f t="shared" si="3"/>
        <v>106</v>
      </c>
      <c r="N39" s="25">
        <f t="shared" si="0"/>
        <v>0</v>
      </c>
      <c r="O39" s="25">
        <f ca="1">IFERROR(((IF(Reikningur!$D$16="Frjálsa leiðin",Reikningur!$AJ$39,Reikningur!$AJ$40)*m_r*(1+m_r)^(12*($D$39-$D$40)))/((1+m_r)^(12*($D$39-$D$40))-1)*(F39&lt;$D$39)*(F39&gt;=$D$40)),0)</f>
        <v>0</v>
      </c>
      <c r="P39" s="25">
        <f ca="1">IFERROR(((IF(Reikningur!$D$16="Frjálsa leiðin",Reikningur!$AJ$21,Reikningur!$AJ$22)*m_r*(1+m_r)^($D$44*12))/((1+m_r)^($D$44*12)-1)) * (M38&gt;=$D$43)*(COUNTIF($P$33:P38,"&gt;0")&lt;$D$44),0)</f>
        <v>0</v>
      </c>
      <c r="Q39" s="22">
        <f ca="1">IFERROR(((Reikningur!$AJ$61*m_r*(1+m_r)^($D$46*12))/((1+m_r)^($D$46*12)-1)) * (M39&gt;=$D$45)*(COUNTIF($Q$33:Q38,"&gt;0")&lt;$D$46),0)</f>
        <v>0</v>
      </c>
    </row>
    <row r="40" spans="3:24" x14ac:dyDescent="0.35">
      <c r="C40" s="43" t="str">
        <f>+Reikningur!C40</f>
        <v>Útgreiðslur bundinnar séreignar hefjast</v>
      </c>
      <c r="D40" s="58">
        <f>+Reikningur!D40</f>
        <v>0</v>
      </c>
      <c r="F40" s="4">
        <f t="shared" si="1"/>
        <v>107</v>
      </c>
      <c r="G40" s="25">
        <f t="shared" ca="1" si="2"/>
        <v>0</v>
      </c>
      <c r="H40" s="25">
        <f ca="1">IFERROR(((IF(Reikningur!$D$16="Frjálsa leiðin",Reikningur!$AL$39,Reikningur!$AL$40)*m_r*(1+m_r)^(12*($D$39-$D$40)))/((1+m_r)^(12*($D$39-$D$40))-1)*(F40&lt;$D$39)*(F40&gt;=$D$40)),0)</f>
        <v>0</v>
      </c>
      <c r="I40" s="25">
        <f ca="1">IFERROR(((IF(Reikningur!$D$16="Frjálsa leiðin",Reikningur!$AM$21,Reikningur!$AM$22)*m_r*(1+m_r)^($D$44*12))/((1+m_r)^($D$44*12)-1)) * (F40&gt;=$D$43)*(COUNTIF($I$33:I39,"&gt;0")&lt;$D$44),0)</f>
        <v>0</v>
      </c>
      <c r="J40" s="22">
        <f ca="1">IFERROR(((Reikningur!$AL$61*m_r*(1+m_r)^($D$46*12))/((1+m_r)^($D$46*12)-1)) * (F40&gt;=$D$45)*(COUNTIF($J$33:J39,"&gt;0")&lt;$D$46),0)</f>
        <v>0</v>
      </c>
      <c r="M40" s="4">
        <f t="shared" si="3"/>
        <v>107</v>
      </c>
      <c r="N40" s="25">
        <f t="shared" si="0"/>
        <v>0</v>
      </c>
      <c r="O40" s="25">
        <f ca="1">IFERROR(((IF(Reikningur!$D$16="Frjálsa leiðin",Reikningur!$AJ$39,Reikningur!$AJ$40)*m_r*(1+m_r)^(12*($D$39-$D$40)))/((1+m_r)^(12*($D$39-$D$40))-1)*(F40&lt;$D$39)*(F40&gt;=$D$40)),0)</f>
        <v>0</v>
      </c>
      <c r="P40" s="25">
        <f ca="1">IFERROR(((IF(Reikningur!$D$16="Frjálsa leiðin",Reikningur!$AJ$21,Reikningur!$AJ$22)*m_r*(1+m_r)^($D$44*12))/((1+m_r)^($D$44*12)-1)) * (M39&gt;=$D$43)*(COUNTIF($P$33:P39,"&gt;0")&lt;$D$44),0)</f>
        <v>0</v>
      </c>
      <c r="Q40" s="22">
        <f ca="1">IFERROR(((Reikningur!$AJ$61*m_r*(1+m_r)^($D$46*12))/((1+m_r)^($D$46*12)-1)) * (M40&gt;=$D$45)*(COUNTIF($Q$33:Q39,"&gt;0")&lt;$D$46),0)</f>
        <v>0</v>
      </c>
    </row>
    <row r="41" spans="3:24" ht="14.5" customHeight="1" x14ac:dyDescent="0.35">
      <c r="C41" s="43" t="str">
        <f>+Reikningur!C41</f>
        <v xml:space="preserve">     Útgreiðslutími bundinnar séreignar</v>
      </c>
      <c r="D41" s="64" t="e">
        <f>+Reikningur!D41</f>
        <v>#REF!</v>
      </c>
      <c r="F41" s="4">
        <f t="shared" si="1"/>
        <v>108</v>
      </c>
      <c r="G41" s="25">
        <f t="shared" ca="1" si="2"/>
        <v>0</v>
      </c>
      <c r="H41" s="25">
        <f ca="1">IFERROR(((IF(Reikningur!$D$16="Frjálsa leiðin",Reikningur!$AL$39,Reikningur!$AL$40)*m_r*(1+m_r)^(12*($D$39-$D$40)))/((1+m_r)^(12*($D$39-$D$40))-1)*(F41&lt;$D$39)*(F41&gt;=$D$40)),0)</f>
        <v>0</v>
      </c>
      <c r="I41" s="25">
        <f ca="1">IFERROR(((IF(Reikningur!$D$16="Frjálsa leiðin",Reikningur!$AM$21,Reikningur!$AM$22)*m_r*(1+m_r)^($D$44*12))/((1+m_r)^($D$44*12)-1)) * (F41&gt;=$D$43)*(COUNTIF($I$33:I40,"&gt;0")&lt;$D$44),0)</f>
        <v>0</v>
      </c>
      <c r="J41" s="22">
        <f ca="1">IFERROR(((Reikningur!$AL$61*m_r*(1+m_r)^($D$46*12))/((1+m_r)^($D$46*12)-1)) * (F41&gt;=$D$45)*(COUNTIF($J$33:J40,"&gt;0")&lt;$D$46),0)</f>
        <v>0</v>
      </c>
      <c r="M41" s="4">
        <f t="shared" si="3"/>
        <v>108</v>
      </c>
      <c r="N41" s="25">
        <f t="shared" si="0"/>
        <v>0</v>
      </c>
      <c r="O41" s="25">
        <f ca="1">IFERROR(((IF(Reikningur!$D$16="Frjálsa leiðin",Reikningur!$AJ$39,Reikningur!$AJ$40)*m_r*(1+m_r)^(12*($D$39-$D$40)))/((1+m_r)^(12*($D$39-$D$40))-1)*(F41&lt;$D$39)*(F41&gt;=$D$40)),0)</f>
        <v>0</v>
      </c>
      <c r="P41" s="25">
        <f ca="1">IFERROR(((IF(Reikningur!$D$16="Frjálsa leiðin",Reikningur!$AJ$21,Reikningur!$AJ$22)*m_r*(1+m_r)^($D$44*12))/((1+m_r)^($D$44*12)-1)) * (M40&gt;=$D$43)*(COUNTIF($P$33:P40,"&gt;0")&lt;$D$44),0)</f>
        <v>0</v>
      </c>
      <c r="Q41" s="22">
        <f ca="1">IFERROR(((Reikningur!$AJ$61*m_r*(1+m_r)^($D$46*12))/((1+m_r)^($D$46*12)-1)) * (M41&gt;=$D$45)*(COUNTIF($Q$33:Q40,"&gt;0")&lt;$D$46),0)</f>
        <v>0</v>
      </c>
      <c r="T41" s="54"/>
      <c r="U41" s="54"/>
      <c r="V41" s="54"/>
      <c r="W41" s="54"/>
      <c r="X41" s="54"/>
    </row>
    <row r="42" spans="3:24" ht="14.5" customHeight="1" x14ac:dyDescent="0.35">
      <c r="C42" s="43">
        <f>Reikningur!C42</f>
        <v>0</v>
      </c>
      <c r="D42" s="62">
        <f>+Reikningur!D42</f>
        <v>0</v>
      </c>
      <c r="F42" s="4">
        <f t="shared" si="1"/>
        <v>109</v>
      </c>
      <c r="G42" s="25">
        <f t="shared" ca="1" si="2"/>
        <v>0</v>
      </c>
      <c r="H42" s="25">
        <f ca="1">IFERROR(((IF(Reikningur!$D$16="Frjálsa leiðin",Reikningur!$AL$39,Reikningur!$AL$40)*m_r*(1+m_r)^(12*($D$39-$D$40)))/((1+m_r)^(12*($D$39-$D$40))-1)*(F42&lt;$D$39)*(F42&gt;=$D$40)),0)</f>
        <v>0</v>
      </c>
      <c r="I42" s="25">
        <f ca="1">IFERROR(((IF(Reikningur!$D$16="Frjálsa leiðin",Reikningur!$AM$21,Reikningur!$AM$22)*m_r*(1+m_r)^($D$44*12))/((1+m_r)^($D$44*12)-1)) * (F42&gt;=$D$43)*(COUNTIF($I$33:I41,"&gt;0")&lt;$D$44),0)</f>
        <v>0</v>
      </c>
      <c r="J42" s="22">
        <f ca="1">IFERROR(((Reikningur!$AL$61*m_r*(1+m_r)^($D$46*12))/((1+m_r)^($D$46*12)-1)) * (F42&gt;=$D$45)*(COUNTIF($J$33:J41,"&gt;0")&lt;$D$46),0)</f>
        <v>0</v>
      </c>
      <c r="M42" s="4">
        <f t="shared" si="3"/>
        <v>109</v>
      </c>
      <c r="N42" s="25">
        <f t="shared" si="0"/>
        <v>0</v>
      </c>
      <c r="O42" s="25">
        <f ca="1">IFERROR(((IF(Reikningur!$D$16="Frjálsa leiðin",Reikningur!$AJ$39,Reikningur!$AJ$40)*m_r*(1+m_r)^(12*($D$39-$D$40)))/((1+m_r)^(12*($D$39-$D$40))-1)*(F42&lt;$D$39)*(F42&gt;=$D$40)),0)</f>
        <v>0</v>
      </c>
      <c r="P42" s="25">
        <f ca="1">IFERROR(((IF(Reikningur!$D$16="Frjálsa leiðin",Reikningur!$AJ$21,Reikningur!$AJ$22)*m_r*(1+m_r)^($D$44*12))/((1+m_r)^($D$44*12)-1)) * (M41&gt;=$D$43)*(COUNTIF($P$33:P41,"&gt;0")&lt;$D$44),0)</f>
        <v>0</v>
      </c>
      <c r="Q42" s="22">
        <f ca="1">IFERROR(((Reikningur!$AJ$61*m_r*(1+m_r)^($D$46*12))/((1+m_r)^($D$46*12)-1)) * (M42&gt;=$D$45)*(COUNTIF($Q$33:Q41,"&gt;0")&lt;$D$46),0)</f>
        <v>0</v>
      </c>
    </row>
    <row r="43" spans="3:24" ht="15" customHeight="1" x14ac:dyDescent="0.35">
      <c r="C43" s="43" t="str">
        <f>Reikningur!C44</f>
        <v>Útgreiðslur frjálsrar séreignar hefjast</v>
      </c>
      <c r="D43" s="58">
        <f>+Reikningur!D44</f>
        <v>0</v>
      </c>
      <c r="F43" s="4">
        <f t="shared" si="1"/>
        <v>110</v>
      </c>
      <c r="G43" s="25">
        <f t="shared" ca="1" si="2"/>
        <v>0</v>
      </c>
      <c r="H43" s="25">
        <f ca="1">IFERROR(((IF(Reikningur!$D$16="Frjálsa leiðin",Reikningur!$AL$39,Reikningur!$AL$40)*m_r*(1+m_r)^(12*($D$39-$D$40)))/((1+m_r)^(12*($D$39-$D$40))-1)*(F43&lt;$D$39)*(F43&gt;=$D$40)),0)</f>
        <v>0</v>
      </c>
      <c r="I43" s="25">
        <f ca="1">IFERROR(((IF(Reikningur!$D$16="Frjálsa leiðin",Reikningur!$AM$21,Reikningur!$AM$22)*m_r*(1+m_r)^($D$44*12))/((1+m_r)^($D$44*12)-1)) * (F43&gt;=$D$43)*(COUNTIF($I$33:I42,"&gt;0")&lt;$D$44),0)</f>
        <v>0</v>
      </c>
      <c r="J43" s="22">
        <f ca="1">IFERROR(((Reikningur!$AL$61*m_r*(1+m_r)^($D$46*12))/((1+m_r)^($D$46*12)-1)) * (F43&gt;=$D$45)*(COUNTIF($J$33:J42,"&gt;0")&lt;$D$46),0)</f>
        <v>0</v>
      </c>
      <c r="M43" s="4">
        <f t="shared" si="3"/>
        <v>110</v>
      </c>
      <c r="N43" s="25">
        <f t="shared" si="0"/>
        <v>0</v>
      </c>
      <c r="O43" s="25">
        <f ca="1">IFERROR(((IF(Reikningur!$D$16="Frjálsa leiðin",Reikningur!$AJ$39,Reikningur!$AJ$40)*m_r*(1+m_r)^(12*($D$39-$D$40)))/((1+m_r)^(12*($D$39-$D$40))-1)*(F43&lt;$D$39)*(F43&gt;=$D$40)),0)</f>
        <v>0</v>
      </c>
      <c r="P43" s="25">
        <f ca="1">IFERROR(((IF(Reikningur!$D$16="Frjálsa leiðin",Reikningur!$AJ$21,Reikningur!$AJ$22)*m_r*(1+m_r)^($D$44*12))/((1+m_r)^($D$44*12)-1)) * (M42&gt;=$D$43)*(COUNTIF($P$33:P42,"&gt;0")&lt;$D$44),0)</f>
        <v>0</v>
      </c>
      <c r="Q43" s="22">
        <f ca="1">IFERROR(((Reikningur!$AJ$61*m_r*(1+m_r)^($D$46*12))/((1+m_r)^($D$46*12)-1)) * (M43&gt;=$D$45)*(COUNTIF($Q$33:Q42,"&gt;0")&lt;$D$46),0)</f>
        <v>0</v>
      </c>
    </row>
    <row r="44" spans="3:24" x14ac:dyDescent="0.35">
      <c r="C44" s="43" t="str">
        <f>Reikningur!C45</f>
        <v xml:space="preserve">     Útgreiðslutími frjálsrar séreignar</v>
      </c>
      <c r="D44" s="64">
        <f>+Reikningur!D45</f>
        <v>0</v>
      </c>
      <c r="F44" s="4">
        <f t="shared" si="1"/>
        <v>111</v>
      </c>
      <c r="G44" s="25">
        <f t="shared" ca="1" si="2"/>
        <v>0</v>
      </c>
      <c r="H44" s="25">
        <f ca="1">IFERROR(((IF(Reikningur!$D$16="Frjálsa leiðin",Reikningur!$AL$39,Reikningur!$AL$40)*m_r*(1+m_r)^(12*($D$39-$D$40)))/((1+m_r)^(12*($D$39-$D$40))-1)*(F44&lt;$D$39)*(F44&gt;=$D$40)),0)</f>
        <v>0</v>
      </c>
      <c r="I44" s="25">
        <f ca="1">IFERROR(((IF(Reikningur!$D$16="Frjálsa leiðin",Reikningur!$AM$21,Reikningur!$AM$22)*m_r*(1+m_r)^($D$44*12))/((1+m_r)^($D$44*12)-1)) * (F44&gt;=$D$43)*(COUNTIF($I$33:I43,"&gt;0")&lt;$D$44),0)</f>
        <v>0</v>
      </c>
      <c r="J44" s="22">
        <f ca="1">IFERROR(((Reikningur!$AL$61*m_r*(1+m_r)^($D$46*12))/((1+m_r)^($D$46*12)-1)) * (F44&gt;=$D$45)*(COUNTIF($J$33:J43,"&gt;0")&lt;$D$46),0)</f>
        <v>0</v>
      </c>
      <c r="M44" s="4">
        <f t="shared" si="3"/>
        <v>111</v>
      </c>
      <c r="N44" s="25">
        <f t="shared" si="0"/>
        <v>0</v>
      </c>
      <c r="O44" s="25">
        <f ca="1">IFERROR(((IF(Reikningur!$D$16="Frjálsa leiðin",Reikningur!$AJ$39,Reikningur!$AJ$40)*m_r*(1+m_r)^(12*($D$39-$D$40)))/((1+m_r)^(12*($D$39-$D$40))-1)*(F44&lt;$D$39)*(F44&gt;=$D$40)),0)</f>
        <v>0</v>
      </c>
      <c r="P44" s="25">
        <f ca="1">IFERROR(((IF(Reikningur!$D$16="Frjálsa leiðin",Reikningur!$AJ$21,Reikningur!$AJ$22)*m_r*(1+m_r)^($D$44*12))/((1+m_r)^($D$44*12)-1)) * (M43&gt;=$D$43)*(COUNTIF($P$33:P43,"&gt;0")&lt;$D$44),0)</f>
        <v>0</v>
      </c>
      <c r="Q44" s="22">
        <f ca="1">IFERROR(((Reikningur!$AJ$61*m_r*(1+m_r)^($D$46*12))/((1+m_r)^($D$46*12)-1)) * (M44&gt;=$D$45)*(COUNTIF($Q$33:Q43,"&gt;0")&lt;$D$46),0)</f>
        <v>0</v>
      </c>
    </row>
    <row r="45" spans="3:24" x14ac:dyDescent="0.35">
      <c r="C45" s="43" t="str">
        <f>Reikningur!C46</f>
        <v>Útgreiðslur viðbótarsparnaðar hefjast</v>
      </c>
      <c r="D45" s="58">
        <f>+Reikningur!D46</f>
        <v>0</v>
      </c>
      <c r="F45" s="4">
        <f t="shared" si="1"/>
        <v>112</v>
      </c>
      <c r="G45" s="25">
        <f t="shared" ca="1" si="2"/>
        <v>0</v>
      </c>
      <c r="H45" s="25">
        <f ca="1">IFERROR(((IF(Reikningur!$D$16="Frjálsa leiðin",Reikningur!$AL$39,Reikningur!$AL$40)*m_r*(1+m_r)^(12*($D$39-$D$40)))/((1+m_r)^(12*($D$39-$D$40))-1)*(F45&lt;$D$39)*(F45&gt;=$D$40)),0)</f>
        <v>0</v>
      </c>
      <c r="I45" s="25">
        <f ca="1">IFERROR(((IF(Reikningur!$D$16="Frjálsa leiðin",Reikningur!$AM$21,Reikningur!$AM$22)*m_r*(1+m_r)^($D$44*12))/((1+m_r)^($D$44*12)-1)) * (F45&gt;=$D$43)*(COUNTIF($I$33:I44,"&gt;0")&lt;$D$44),0)</f>
        <v>0</v>
      </c>
      <c r="J45" s="22">
        <f ca="1">IFERROR(((Reikningur!$AL$61*m_r*(1+m_r)^($D$46*12))/((1+m_r)^($D$46*12)-1)) * (F45&gt;=$D$45)*(COUNTIF($J$33:J44,"&gt;0")&lt;$D$46),0)</f>
        <v>0</v>
      </c>
      <c r="M45" s="4">
        <f t="shared" si="3"/>
        <v>112</v>
      </c>
      <c r="N45" s="25">
        <f t="shared" si="0"/>
        <v>0</v>
      </c>
      <c r="O45" s="25">
        <f ca="1">IFERROR(((IF(Reikningur!$D$16="Frjálsa leiðin",Reikningur!$AJ$39,Reikningur!$AJ$40)*m_r*(1+m_r)^(12*($D$39-$D$40)))/((1+m_r)^(12*($D$39-$D$40))-1)*(F45&lt;$D$39)*(F45&gt;=$D$40)),0)</f>
        <v>0</v>
      </c>
      <c r="P45" s="25">
        <f ca="1">IFERROR(((IF(Reikningur!$D$16="Frjálsa leiðin",Reikningur!$AJ$21,Reikningur!$AJ$22)*m_r*(1+m_r)^($D$44*12))/((1+m_r)^($D$44*12)-1)) * (M44&gt;=$D$43)*(COUNTIF($P$33:P44,"&gt;0")&lt;$D$44),0)</f>
        <v>0</v>
      </c>
      <c r="Q45" s="22">
        <f ca="1">IFERROR(((Reikningur!$AJ$61*m_r*(1+m_r)^($D$46*12))/((1+m_r)^($D$46*12)-1)) * (M45&gt;=$D$45)*(COUNTIF($Q$33:Q44,"&gt;0")&lt;$D$46),0)</f>
        <v>0</v>
      </c>
    </row>
    <row r="46" spans="3:24" ht="15" customHeight="1" x14ac:dyDescent="0.35">
      <c r="C46" s="50" t="str">
        <f>Reikningur!C47</f>
        <v xml:space="preserve">     Útgreiðslutími viðbótarsparnaðar</v>
      </c>
      <c r="D46" s="65">
        <f>+Reikningur!D47</f>
        <v>0</v>
      </c>
      <c r="F46" s="4">
        <f t="shared" si="1"/>
        <v>113</v>
      </c>
      <c r="G46" s="25">
        <f t="shared" ca="1" si="2"/>
        <v>0</v>
      </c>
      <c r="H46" s="25">
        <f ca="1">IFERROR(((IF(Reikningur!$D$16="Frjálsa leiðin",Reikningur!$AL$39,Reikningur!$AL$40)*m_r*(1+m_r)^(12*($D$39-$D$40)))/((1+m_r)^(12*($D$39-$D$40))-1)*(F46&lt;$D$39)*(F46&gt;=$D$40)),0)</f>
        <v>0</v>
      </c>
      <c r="I46" s="25">
        <f ca="1">IFERROR(((IF(Reikningur!$D$16="Frjálsa leiðin",Reikningur!$AM$21,Reikningur!$AM$22)*m_r*(1+m_r)^($D$44*12))/((1+m_r)^($D$44*12)-1)) * (F46&gt;=$D$43)*(COUNTIF($I$33:I45,"&gt;0")&lt;$D$44),0)</f>
        <v>0</v>
      </c>
      <c r="J46" s="22">
        <f ca="1">IFERROR(((Reikningur!$AL$61*m_r*(1+m_r)^($D$46*12))/((1+m_r)^($D$46*12)-1)) * (F46&gt;=$D$45)*(COUNTIF($J$33:J45,"&gt;0")&lt;$D$46),0)</f>
        <v>0</v>
      </c>
      <c r="M46" s="4">
        <f t="shared" si="3"/>
        <v>113</v>
      </c>
      <c r="N46" s="25">
        <f t="shared" si="0"/>
        <v>0</v>
      </c>
      <c r="O46" s="25">
        <f ca="1">IFERROR(((IF(Reikningur!$D$16="Frjálsa leiðin",Reikningur!$AJ$39,Reikningur!$AJ$40)*m_r*(1+m_r)^(12*($D$39-$D$40)))/((1+m_r)^(12*($D$39-$D$40))-1)*(F46&lt;$D$39)*(F46&gt;=$D$40)),0)</f>
        <v>0</v>
      </c>
      <c r="P46" s="25">
        <f ca="1">IFERROR(((IF(Reikningur!$D$16="Frjálsa leiðin",Reikningur!$AJ$21,Reikningur!$AJ$22)*m_r*(1+m_r)^($D$44*12))/((1+m_r)^($D$44*12)-1)) * (M45&gt;=$D$43)*(COUNTIF($P$33:P45,"&gt;0")&lt;$D$44),0)</f>
        <v>0</v>
      </c>
      <c r="Q46" s="22">
        <f ca="1">IFERROR(((Reikningur!$AJ$61*m_r*(1+m_r)^($D$46*12))/((1+m_r)^($D$46*12)-1)) * (M46&gt;=$D$45)*(COUNTIF($Q$33:Q45,"&gt;0")&lt;$D$46),0)</f>
        <v>0</v>
      </c>
      <c r="T46" s="54"/>
      <c r="U46" s="54"/>
      <c r="V46" s="54"/>
      <c r="W46" s="54"/>
      <c r="X46" s="54"/>
    </row>
    <row r="47" spans="3:24" ht="15.75" customHeight="1" x14ac:dyDescent="0.35">
      <c r="C47" s="73"/>
      <c r="D47" s="73"/>
      <c r="F47" s="4">
        <f t="shared" si="1"/>
        <v>114</v>
      </c>
      <c r="G47" s="25">
        <f t="shared" ca="1" si="2"/>
        <v>0</v>
      </c>
      <c r="H47" s="25">
        <f ca="1">IFERROR(((IF(Reikningur!$D$16="Frjálsa leiðin",Reikningur!$AL$39,Reikningur!$AL$40)*m_r*(1+m_r)^(12*($D$39-$D$40)))/((1+m_r)^(12*($D$39-$D$40))-1)*(F47&lt;$D$39)*(F47&gt;=$D$40)),0)</f>
        <v>0</v>
      </c>
      <c r="I47" s="25">
        <f ca="1">IFERROR(((IF(Reikningur!$D$16="Frjálsa leiðin",Reikningur!$AM$21,Reikningur!$AM$22)*m_r*(1+m_r)^($D$44*12))/((1+m_r)^($D$44*12)-1)) * (F47&gt;=$D$43)*(COUNTIF($I$33:I46,"&gt;0")&lt;$D$44),0)</f>
        <v>0</v>
      </c>
      <c r="J47" s="22">
        <f ca="1">IFERROR(((Reikningur!$AL$61*m_r*(1+m_r)^($D$46*12))/((1+m_r)^($D$46*12)-1)) * (F47&gt;=$D$45)*(COUNTIF($J$33:J46,"&gt;0")&lt;$D$46),0)</f>
        <v>0</v>
      </c>
      <c r="M47" s="4">
        <f t="shared" si="3"/>
        <v>114</v>
      </c>
      <c r="N47" s="25">
        <f t="shared" si="0"/>
        <v>0</v>
      </c>
      <c r="O47" s="25">
        <f ca="1">IFERROR(((IF(Reikningur!$D$16="Frjálsa leiðin",Reikningur!$AJ$39,Reikningur!$AJ$40)*m_r*(1+m_r)^(12*($D$39-$D$40)))/((1+m_r)^(12*($D$39-$D$40))-1)*(F47&lt;$D$39)*(F47&gt;=$D$40)),0)</f>
        <v>0</v>
      </c>
      <c r="P47" s="25">
        <f ca="1">IFERROR(((IF(Reikningur!$D$16="Frjálsa leiðin",Reikningur!$AJ$21,Reikningur!$AJ$22)*m_r*(1+m_r)^($D$44*12))/((1+m_r)^($D$44*12)-1)) * (M46&gt;=$D$43)*(COUNTIF($P$33:P46,"&gt;0")&lt;$D$44),0)</f>
        <v>0</v>
      </c>
      <c r="Q47" s="22">
        <f ca="1">IFERROR(((Reikningur!$AJ$61*m_r*(1+m_r)^($D$46*12))/((1+m_r)^($D$46*12)-1)) * (M47&gt;=$D$45)*(COUNTIF($Q$33:Q46,"&gt;0")&lt;$D$46),0)</f>
        <v>0</v>
      </c>
    </row>
    <row r="48" spans="3:24" ht="17.25" customHeight="1" x14ac:dyDescent="0.35">
      <c r="C48" s="121" t="str">
        <f>Reikningur!C48</f>
        <v>Staða við starfslok ef framtíðariðgjöld greiðast í Frjálsu leiðina</v>
      </c>
      <c r="D48" s="122"/>
      <c r="F48" s="4">
        <f t="shared" si="1"/>
        <v>115</v>
      </c>
      <c r="G48" s="25">
        <f t="shared" ca="1" si="2"/>
        <v>0</v>
      </c>
      <c r="H48" s="25">
        <f ca="1">IFERROR(((IF(Reikningur!$D$16="Frjálsa leiðin",Reikningur!$AL$39,Reikningur!$AL$40)*m_r*(1+m_r)^(12*($D$39-$D$40)))/((1+m_r)^(12*($D$39-$D$40))-1)*(F48&lt;$D$39)*(F48&gt;=$D$40)),0)</f>
        <v>0</v>
      </c>
      <c r="I48" s="25">
        <f ca="1">IFERROR(((IF(Reikningur!$D$16="Frjálsa leiðin",Reikningur!$AM$21,Reikningur!$AM$22)*m_r*(1+m_r)^($D$44*12))/((1+m_r)^($D$44*12)-1)) * (F48&gt;=$D$43)*(COUNTIF($I$33:I47,"&gt;0")&lt;$D$44),0)</f>
        <v>0</v>
      </c>
      <c r="J48" s="22">
        <f ca="1">IFERROR(((Reikningur!$AL$61*m_r*(1+m_r)^($D$46*12))/((1+m_r)^($D$46*12)-1)) * (F48&gt;=$D$45)*(COUNTIF($J$33:J47,"&gt;0")&lt;$D$46),0)</f>
        <v>0</v>
      </c>
      <c r="M48" s="4">
        <f t="shared" si="3"/>
        <v>115</v>
      </c>
      <c r="N48" s="25">
        <f t="shared" si="0"/>
        <v>0</v>
      </c>
      <c r="O48" s="25">
        <f ca="1">IFERROR(((IF(Reikningur!$D$16="Frjálsa leiðin",Reikningur!$AJ$39,Reikningur!$AJ$40)*m_r*(1+m_r)^(12*($D$39-$D$40)))/((1+m_r)^(12*($D$39-$D$40))-1)*(F48&lt;$D$39)*(F48&gt;=$D$40)),0)</f>
        <v>0</v>
      </c>
      <c r="P48" s="25">
        <f ca="1">IFERROR(((IF(Reikningur!$D$16="Frjálsa leiðin",Reikningur!$AJ$21,Reikningur!$AJ$22)*m_r*(1+m_r)^($D$44*12))/((1+m_r)^($D$44*12)-1)) * (M47&gt;=$D$43)*(COUNTIF($P$33:P47,"&gt;0")&lt;$D$44),0)</f>
        <v>0</v>
      </c>
      <c r="Q48" s="22">
        <f ca="1">IFERROR(((Reikningur!$AJ$61*m_r*(1+m_r)^($D$46*12))/((1+m_r)^($D$46*12)-1)) * (M48&gt;=$D$45)*(COUNTIF($Q$33:Q47,"&gt;0")&lt;$D$46),0)</f>
        <v>0</v>
      </c>
    </row>
    <row r="49" spans="3:24" ht="14.5" customHeight="1" thickBot="1" x14ac:dyDescent="0.4">
      <c r="C49" s="123"/>
      <c r="D49" s="124"/>
      <c r="F49" s="4">
        <f t="shared" si="1"/>
        <v>116</v>
      </c>
      <c r="G49" s="25">
        <f t="shared" ca="1" si="2"/>
        <v>0</v>
      </c>
      <c r="H49" s="25">
        <f ca="1">IFERROR(((IF(Reikningur!$D$16="Frjálsa leiðin",Reikningur!$AL$39,Reikningur!$AL$40)*m_r*(1+m_r)^(12*($D$39-$D$40)))/((1+m_r)^(12*($D$39-$D$40))-1)*(F49&lt;$D$39)*(F49&gt;=$D$40)),0)</f>
        <v>0</v>
      </c>
      <c r="I49" s="25">
        <f ca="1">IFERROR(((IF(Reikningur!$D$16="Frjálsa leiðin",Reikningur!$AM$21,Reikningur!$AM$22)*m_r*(1+m_r)^($D$44*12))/((1+m_r)^($D$44*12)-1)) * (F49&gt;=$D$43)*(COUNTIF($I$33:I48,"&gt;0")&lt;$D$44),0)</f>
        <v>0</v>
      </c>
      <c r="J49" s="22">
        <f ca="1">IFERROR(((Reikningur!$AL$61*m_r*(1+m_r)^($D$46*12))/((1+m_r)^($D$46*12)-1)) * (F49&gt;=$D$45)*(COUNTIF($J$33:J48,"&gt;0")&lt;$D$46),0)</f>
        <v>0</v>
      </c>
      <c r="M49" s="4">
        <f t="shared" si="3"/>
        <v>116</v>
      </c>
      <c r="N49" s="25">
        <f t="shared" si="0"/>
        <v>0</v>
      </c>
      <c r="O49" s="25">
        <f ca="1">IFERROR(((IF(Reikningur!$D$16="Frjálsa leiðin",Reikningur!$AJ$39,Reikningur!$AJ$40)*m_r*(1+m_r)^(12*($D$39-$D$40)))/((1+m_r)^(12*($D$39-$D$40))-1)*(F49&lt;$D$39)*(F49&gt;=$D$40)),0)</f>
        <v>0</v>
      </c>
      <c r="P49" s="25">
        <f ca="1">IFERROR(((IF(Reikningur!$D$16="Frjálsa leiðin",Reikningur!$AJ$21,Reikningur!$AJ$22)*m_r*(1+m_r)^($D$44*12))/((1+m_r)^($D$44*12)-1)) * (M48&gt;=$D$43)*(COUNTIF($P$33:P48,"&gt;0")&lt;$D$44),0)</f>
        <v>0</v>
      </c>
      <c r="Q49" s="22">
        <f ca="1">IFERROR(((Reikningur!$AJ$61*m_r*(1+m_r)^($D$46*12))/((1+m_r)^($D$46*12)-1)) * (M49&gt;=$D$45)*(COUNTIF($Q$33:Q48,"&gt;0")&lt;$D$46),0)</f>
        <v>0</v>
      </c>
    </row>
    <row r="50" spans="3:24" ht="15" customHeight="1" x14ac:dyDescent="0.35">
      <c r="C50" s="43" t="str">
        <f>Reikningur!C50</f>
        <v>Samtrygging úr Frjálsu- mánaðarleg réttindi (0 ára)</v>
      </c>
      <c r="D50" s="98">
        <f ca="1">Reikningur!D50</f>
        <v>0</v>
      </c>
      <c r="F50" s="4">
        <f t="shared" si="1"/>
        <v>117</v>
      </c>
      <c r="G50" s="25">
        <f t="shared" ca="1" si="2"/>
        <v>0</v>
      </c>
      <c r="H50" s="25">
        <f ca="1">IFERROR(((IF(Reikningur!$D$16="Frjálsa leiðin",Reikningur!$AL$39,Reikningur!$AL$40)*m_r*(1+m_r)^(12*($D$39-$D$40)))/((1+m_r)^(12*($D$39-$D$40))-1)*(F50&lt;$D$39)*(F50&gt;=$D$40)),0)</f>
        <v>0</v>
      </c>
      <c r="I50" s="25">
        <f ca="1">IFERROR(((IF(Reikningur!$D$16="Frjálsa leiðin",Reikningur!$AM$21,Reikningur!$AM$22)*m_r*(1+m_r)^($D$44*12))/((1+m_r)^($D$44*12)-1)) * (F50&gt;=$D$43)*(COUNTIF($I$33:I49,"&gt;0")&lt;$D$44),0)</f>
        <v>0</v>
      </c>
      <c r="J50" s="22">
        <f ca="1">IFERROR(((Reikningur!$AL$61*m_r*(1+m_r)^($D$46*12))/((1+m_r)^($D$46*12)-1)) * (F50&gt;=$D$45)*(COUNTIF($J$33:J49,"&gt;0")&lt;$D$46),0)</f>
        <v>0</v>
      </c>
      <c r="M50" s="4">
        <f t="shared" si="3"/>
        <v>117</v>
      </c>
      <c r="N50" s="25">
        <f t="shared" si="0"/>
        <v>0</v>
      </c>
      <c r="O50" s="25">
        <f ca="1">IFERROR(((IF(Reikningur!$D$16="Frjálsa leiðin",Reikningur!$AJ$39,Reikningur!$AJ$40)*m_r*(1+m_r)^(12*($D$39-$D$40)))/((1+m_r)^(12*($D$39-$D$40))-1)*(F50&lt;$D$39)*(F50&gt;=$D$40)),0)</f>
        <v>0</v>
      </c>
      <c r="P50" s="25">
        <f ca="1">IFERROR(((IF(Reikningur!$D$16="Frjálsa leiðin",Reikningur!$AJ$21,Reikningur!$AJ$22)*m_r*(1+m_r)^($D$44*12))/((1+m_r)^($D$44*12)-1)) * (M49&gt;=$D$43)*(COUNTIF($P$33:P49,"&gt;0")&lt;$D$44),0)</f>
        <v>0</v>
      </c>
      <c r="Q50" s="22">
        <f ca="1">IFERROR(((Reikningur!$AJ$61*m_r*(1+m_r)^($D$46*12))/((1+m_r)^($D$46*12)-1)) * (M50&gt;=$D$45)*(COUNTIF($Q$33:Q49,"&gt;0")&lt;$D$46),0)</f>
        <v>0</v>
      </c>
    </row>
    <row r="51" spans="3:24" ht="17.149999999999999" customHeight="1" x14ac:dyDescent="0.35">
      <c r="C51" s="43" t="str">
        <f>Reikningur!C51</f>
        <v>Bundin séreign - erfanleg heildareign (0 ára)</v>
      </c>
      <c r="D51" s="67">
        <f ca="1">Reikningur!D51</f>
        <v>0</v>
      </c>
      <c r="F51" s="4">
        <f t="shared" si="1"/>
        <v>118</v>
      </c>
      <c r="G51" s="25">
        <f t="shared" ca="1" si="2"/>
        <v>0</v>
      </c>
      <c r="H51" s="25">
        <f ca="1">IFERROR(((IF(Reikningur!$D$16="Frjálsa leiðin",Reikningur!$AL$39,Reikningur!$AL$40)*m_r*(1+m_r)^(12*($D$39-$D$40)))/((1+m_r)^(12*($D$39-$D$40))-1)*(F51&lt;$D$39)*(F51&gt;=$D$40)),0)</f>
        <v>0</v>
      </c>
      <c r="I51" s="25">
        <f ca="1">IFERROR(((IF(Reikningur!$D$16="Frjálsa leiðin",Reikningur!$AM$21,Reikningur!$AM$22)*m_r*(1+m_r)^($D$44*12))/((1+m_r)^($D$44*12)-1)) * (F51&gt;=$D$43)*(COUNTIF($I$33:I50,"&gt;0")&lt;$D$44),0)</f>
        <v>0</v>
      </c>
      <c r="J51" s="22">
        <f ca="1">IFERROR(((Reikningur!$AL$61*m_r*(1+m_r)^($D$46*12))/((1+m_r)^($D$46*12)-1)) * (F51&gt;=$D$45)*(COUNTIF($J$33:J50,"&gt;0")&lt;$D$46),0)</f>
        <v>0</v>
      </c>
      <c r="M51" s="4">
        <f t="shared" si="3"/>
        <v>118</v>
      </c>
      <c r="N51" s="25">
        <f t="shared" si="0"/>
        <v>0</v>
      </c>
      <c r="O51" s="25">
        <f ca="1">IFERROR(((IF(Reikningur!$D$16="Frjálsa leiðin",Reikningur!$AJ$39,Reikningur!$AJ$40)*m_r*(1+m_r)^(12*($D$39-$D$40)))/((1+m_r)^(12*($D$39-$D$40))-1)*(F51&lt;$D$39)*(F51&gt;=$D$40)),0)</f>
        <v>0</v>
      </c>
      <c r="P51" s="25">
        <f ca="1">IFERROR(((IF(Reikningur!$D$16="Frjálsa leiðin",Reikningur!$AJ$21,Reikningur!$AJ$22)*m_r*(1+m_r)^($D$44*12))/((1+m_r)^($D$44*12)-1)) * (M50&gt;=$D$43)*(COUNTIF($P$33:P50,"&gt;0")&lt;$D$44),0)</f>
        <v>0</v>
      </c>
      <c r="Q51" s="22">
        <f ca="1">IFERROR(((Reikningur!$AJ$61*m_r*(1+m_r)^($D$46*12))/((1+m_r)^($D$46*12)-1)) * (M51&gt;=$D$45)*(COUNTIF($Q$33:Q50,"&gt;0")&lt;$D$46),0)</f>
        <v>0</v>
      </c>
      <c r="T51" s="54"/>
      <c r="V51" s="54"/>
      <c r="W51" s="54"/>
      <c r="X51" s="54"/>
    </row>
    <row r="52" spans="3:24" ht="15.5" x14ac:dyDescent="0.35">
      <c r="C52" s="43" t="str">
        <f>Reikningur!C52</f>
        <v>Frjáls séreign - erfanleg heildareign (0 ára)</v>
      </c>
      <c r="D52" s="67">
        <f ca="1">Reikningur!D52</f>
        <v>0</v>
      </c>
      <c r="F52" s="4">
        <f t="shared" si="1"/>
        <v>119</v>
      </c>
      <c r="G52" s="25">
        <f t="shared" ca="1" si="2"/>
        <v>0</v>
      </c>
      <c r="H52" s="25">
        <f ca="1">IFERROR(((IF(Reikningur!$D$16="Frjálsa leiðin",Reikningur!$AL$39,Reikningur!$AL$40)*m_r*(1+m_r)^(12*($D$39-$D$40)))/((1+m_r)^(12*($D$39-$D$40))-1)*(F52&lt;$D$39)*(F52&gt;=$D$40)),0)</f>
        <v>0</v>
      </c>
      <c r="I52" s="25">
        <f ca="1">IFERROR(((IF(Reikningur!$D$16="Frjálsa leiðin",Reikningur!$AM$21,Reikningur!$AM$22)*m_r*(1+m_r)^($D$44*12))/((1+m_r)^($D$44*12)-1)) * (F52&gt;=$D$43)*(COUNTIF($I$33:I51,"&gt;0")&lt;$D$44),0)</f>
        <v>0</v>
      </c>
      <c r="J52" s="22">
        <f ca="1">IFERROR(((Reikningur!$AL$61*m_r*(1+m_r)^($D$46*12))/((1+m_r)^($D$46*12)-1)) * (F52&gt;=$D$45)*(COUNTIF($J$33:J51,"&gt;0")&lt;$D$46),0)</f>
        <v>0</v>
      </c>
      <c r="M52" s="4">
        <f t="shared" si="3"/>
        <v>119</v>
      </c>
      <c r="N52" s="25">
        <f t="shared" si="0"/>
        <v>0</v>
      </c>
      <c r="O52" s="25">
        <f ca="1">IFERROR(((IF(Reikningur!$D$16="Frjálsa leiðin",Reikningur!$AJ$39,Reikningur!$AJ$40)*m_r*(1+m_r)^(12*($D$39-$D$40)))/((1+m_r)^(12*($D$39-$D$40))-1)*(F52&lt;$D$39)*(F52&gt;=$D$40)),0)</f>
        <v>0</v>
      </c>
      <c r="P52" s="25">
        <f ca="1">IFERROR(((IF(Reikningur!$D$16="Frjálsa leiðin",Reikningur!$AJ$21,Reikningur!$AJ$22)*m_r*(1+m_r)^($D$44*12))/((1+m_r)^($D$44*12)-1)) * (M51&gt;=$D$43)*(COUNTIF($P$33:P51,"&gt;0")&lt;$D$44),0)</f>
        <v>0</v>
      </c>
      <c r="Q52" s="22">
        <f ca="1">IFERROR(((Reikningur!$AJ$61*m_r*(1+m_r)^($D$46*12))/((1+m_r)^($D$46*12)-1)) * (M52&gt;=$D$45)*(COUNTIF($Q$33:Q51,"&gt;0")&lt;$D$46),0)</f>
        <v>0</v>
      </c>
    </row>
    <row r="53" spans="3:24" ht="15.5" x14ac:dyDescent="0.35">
      <c r="C53" s="43" t="str">
        <f>Reikningur!C53</f>
        <v>Viðbótarsparnaður - erfanleg heildareign (0 ára)</v>
      </c>
      <c r="D53" s="67">
        <f ca="1">Reikningur!D53</f>
        <v>0</v>
      </c>
      <c r="F53" s="4">
        <f t="shared" si="1"/>
        <v>120</v>
      </c>
      <c r="G53" s="25">
        <f t="shared" ca="1" si="2"/>
        <v>0</v>
      </c>
      <c r="H53" s="25">
        <f ca="1">IFERROR(((IF(Reikningur!$D$16="Frjálsa leiðin",Reikningur!$AL$39,Reikningur!$AL$40)*m_r*(1+m_r)^(12*($D$39-$D$40)))/((1+m_r)^(12*($D$39-$D$40))-1)*(F53&lt;$D$39)*(F53&gt;=$D$40)),0)</f>
        <v>0</v>
      </c>
      <c r="I53" s="25">
        <f ca="1">IFERROR(((IF(Reikningur!$D$16="Frjálsa leiðin",Reikningur!$AM$21,Reikningur!$AM$22)*m_r*(1+m_r)^($D$44*12))/((1+m_r)^($D$44*12)-1)) * (F53&gt;=$D$43)*(COUNTIF($I$33:I52,"&gt;0")&lt;$D$44),0)</f>
        <v>0</v>
      </c>
      <c r="J53" s="22">
        <f ca="1">IFERROR(((Reikningur!$AL$61*m_r*(1+m_r)^($D$46*12))/((1+m_r)^($D$46*12)-1)) * (F53&gt;=$D$45)*(COUNTIF($J$33:J52,"&gt;0")&lt;$D$46),0)</f>
        <v>0</v>
      </c>
      <c r="M53" s="4">
        <f t="shared" si="3"/>
        <v>120</v>
      </c>
      <c r="N53" s="25">
        <f t="shared" si="0"/>
        <v>0</v>
      </c>
      <c r="O53" s="25">
        <f ca="1">IFERROR(((IF(Reikningur!$D$16="Frjálsa leiðin",Reikningur!$AJ$39,Reikningur!$AJ$40)*m_r*(1+m_r)^(12*($D$39-$D$40)))/((1+m_r)^(12*($D$39-$D$40))-1)*(F53&lt;$D$39)*(F53&gt;=$D$40)),0)</f>
        <v>0</v>
      </c>
      <c r="P53" s="25">
        <f ca="1">IFERROR(((IF(Reikningur!$D$16="Frjálsa leiðin",Reikningur!$AJ$21,Reikningur!$AJ$22)*m_r*(1+m_r)^($D$44*12))/((1+m_r)^($D$44*12)-1)) * (M52&gt;=$D$43)*(COUNTIF($P$33:P52,"&gt;0")&lt;$D$44),0)</f>
        <v>0</v>
      </c>
      <c r="Q53" s="22">
        <f ca="1">IFERROR(((Reikningur!$AJ$61*m_r*(1+m_r)^($D$46*12))/((1+m_r)^($D$46*12)-1)) * (M53&gt;=$D$45)*(COUNTIF($Q$33:Q52,"&gt;0")&lt;$D$46),0)</f>
        <v>0</v>
      </c>
    </row>
    <row r="54" spans="3:24" ht="15" customHeight="1" x14ac:dyDescent="0.35">
      <c r="C54" s="51" t="str">
        <f>Reikningur!C54</f>
        <v>Erfanleg séreign samtals (0 ára)</v>
      </c>
      <c r="D54" s="99">
        <f ca="1">D52+D53+D51</f>
        <v>0</v>
      </c>
      <c r="F54" s="4">
        <f t="shared" si="1"/>
        <v>121</v>
      </c>
      <c r="G54" s="25">
        <f t="shared" ca="1" si="2"/>
        <v>0</v>
      </c>
      <c r="H54" s="25">
        <f ca="1">IFERROR(((IF(Reikningur!$D$16="Frjálsa leiðin",Reikningur!$AL$39,Reikningur!$AL$40)*m_r*(1+m_r)^(12*($D$39-$D$40)))/((1+m_r)^(12*($D$39-$D$40))-1)*(F54&lt;$D$39)*(F54&gt;=$D$40)),0)</f>
        <v>0</v>
      </c>
      <c r="I54" s="25">
        <f ca="1">IFERROR(((IF(Reikningur!$D$16="Frjálsa leiðin",Reikningur!$AM$21,Reikningur!$AM$22)*m_r*(1+m_r)^($D$44*12))/((1+m_r)^($D$44*12)-1)) * (F54&gt;=$D$43)*(COUNTIF($I$33:I53,"&gt;0")&lt;$D$44),0)</f>
        <v>0</v>
      </c>
      <c r="J54" s="22">
        <f ca="1">IFERROR(((Reikningur!$AL$61*m_r*(1+m_r)^($D$46*12))/((1+m_r)^($D$46*12)-1)) * (F54&gt;=$D$45)*(COUNTIF($J$33:J53,"&gt;0")&lt;$D$46),0)</f>
        <v>0</v>
      </c>
      <c r="M54" s="4">
        <f t="shared" si="3"/>
        <v>121</v>
      </c>
      <c r="N54" s="25">
        <f t="shared" si="0"/>
        <v>0</v>
      </c>
      <c r="O54" s="25">
        <f ca="1">IFERROR(((IF(Reikningur!$D$16="Frjálsa leiðin",Reikningur!$AJ$39,Reikningur!$AJ$40)*m_r*(1+m_r)^(12*($D$39-$D$40)))/((1+m_r)^(12*($D$39-$D$40))-1)*(F54&lt;$D$39)*(F54&gt;=$D$40)),0)</f>
        <v>0</v>
      </c>
      <c r="P54" s="25">
        <f ca="1">IFERROR(((IF(Reikningur!$D$16="Frjálsa leiðin",Reikningur!$AJ$21,Reikningur!$AJ$22)*m_r*(1+m_r)^($D$44*12))/((1+m_r)^($D$44*12)-1)) * (M53&gt;=$D$43)*(COUNTIF($P$33:P53,"&gt;0")&lt;$D$44),0)</f>
        <v>0</v>
      </c>
      <c r="Q54" s="22">
        <f ca="1">IFERROR(((Reikningur!$AJ$61*m_r*(1+m_r)^($D$46*12))/((1+m_r)^($D$46*12)-1)) * (M54&gt;=$D$45)*(COUNTIF($Q$33:Q53,"&gt;0")&lt;$D$46),0)</f>
        <v>0</v>
      </c>
    </row>
    <row r="55" spans="3:24" ht="15.75" customHeight="1" x14ac:dyDescent="0.35">
      <c r="F55" s="4">
        <f t="shared" si="1"/>
        <v>122</v>
      </c>
      <c r="G55" s="25">
        <f t="shared" ca="1" si="2"/>
        <v>0</v>
      </c>
      <c r="H55" s="25">
        <f ca="1">IFERROR(((IF(Reikningur!$D$16="Frjálsa leiðin",Reikningur!$AL$39,Reikningur!$AL$40)*m_r*(1+m_r)^(12*($D$39-$D$40)))/((1+m_r)^(12*($D$39-$D$40))-1)*(F55&lt;$D$39)*(F55&gt;=$D$40)),0)</f>
        <v>0</v>
      </c>
      <c r="I55" s="25">
        <f ca="1">IFERROR(((IF(Reikningur!$D$16="Frjálsa leiðin",Reikningur!$AM$21,Reikningur!$AM$22)*m_r*(1+m_r)^($D$44*12))/((1+m_r)^($D$44*12)-1)) * (F55&gt;=$D$43)*(COUNTIF($I$33:I54,"&gt;0")&lt;$D$44),0)</f>
        <v>0</v>
      </c>
      <c r="J55" s="22">
        <f ca="1">IFERROR(((Reikningur!$AL$61*m_r*(1+m_r)^($D$46*12))/((1+m_r)^($D$46*12)-1)) * (F55&gt;=$D$45)*(COUNTIF($J$33:J54,"&gt;0")&lt;$D$46),0)</f>
        <v>0</v>
      </c>
      <c r="M55" s="4">
        <f t="shared" si="3"/>
        <v>122</v>
      </c>
      <c r="N55" s="25">
        <f t="shared" si="0"/>
        <v>0</v>
      </c>
      <c r="O55" s="25">
        <f ca="1">IFERROR(((IF(Reikningur!$D$16="Frjálsa leiðin",Reikningur!$AJ$39,Reikningur!$AJ$40)*m_r*(1+m_r)^(12*($D$39-$D$40)))/((1+m_r)^(12*($D$39-$D$40))-1)*(F55&lt;$D$39)*(F55&gt;=$D$40)),0)</f>
        <v>0</v>
      </c>
      <c r="P55" s="25">
        <f ca="1">IFERROR(((IF(Reikningur!$D$16="Frjálsa leiðin",Reikningur!$AJ$21,Reikningur!$AJ$22)*m_r*(1+m_r)^($D$44*12))/((1+m_r)^($D$44*12)-1)) * (M54&gt;=$D$43)*(COUNTIF($P$33:P54,"&gt;0")&lt;$D$44),0)</f>
        <v>0</v>
      </c>
      <c r="Q55" s="22">
        <f ca="1">IFERROR(((Reikningur!$AJ$61*m_r*(1+m_r)^($D$46*12))/((1+m_r)^($D$46*12)-1)) * (M55&gt;=$D$45)*(COUNTIF($Q$33:Q54,"&gt;0")&lt;$D$46),0)</f>
        <v>0</v>
      </c>
    </row>
    <row r="56" spans="3:24" ht="17.25" customHeight="1" x14ac:dyDescent="0.35">
      <c r="C56" s="121" t="str">
        <f>+Reikningur!C55</f>
        <v>Staða við starfslok ef enginn framtíðariðgjöld eru greidd</v>
      </c>
      <c r="D56" s="122"/>
      <c r="F56" s="4">
        <f t="shared" si="1"/>
        <v>123</v>
      </c>
      <c r="G56" s="25">
        <f t="shared" ca="1" si="2"/>
        <v>0</v>
      </c>
      <c r="H56" s="25">
        <f ca="1">IFERROR(((IF(Reikningur!$D$16="Frjálsa leiðin",Reikningur!$AL$39,Reikningur!$AL$40)*m_r*(1+m_r)^(12*($D$39-$D$40)))/((1+m_r)^(12*($D$39-$D$40))-1)*(F56&lt;$D$39)*(F56&gt;=$D$40)),0)</f>
        <v>0</v>
      </c>
      <c r="I56" s="25">
        <f ca="1">IFERROR(((IF(Reikningur!$D$16="Frjálsa leiðin",Reikningur!$AM$21,Reikningur!$AM$22)*m_r*(1+m_r)^($D$44*12))/((1+m_r)^($D$44*12)-1)) * (F56&gt;=$D$43)*(COUNTIF($I$33:I55,"&gt;0")&lt;$D$44),0)</f>
        <v>0</v>
      </c>
      <c r="J56" s="22">
        <f ca="1">IFERROR(((Reikningur!$AL$61*m_r*(1+m_r)^($D$46*12))/((1+m_r)^($D$46*12)-1)) * (F56&gt;=$D$45)*(COUNTIF($J$33:J55,"&gt;0")&lt;$D$46),0)</f>
        <v>0</v>
      </c>
      <c r="M56" s="4">
        <f t="shared" si="3"/>
        <v>123</v>
      </c>
      <c r="N56" s="25">
        <f t="shared" si="0"/>
        <v>0</v>
      </c>
      <c r="O56" s="25">
        <f ca="1">IFERROR(((IF(Reikningur!$D$16="Frjálsa leiðin",Reikningur!$AJ$39,Reikningur!$AJ$40)*m_r*(1+m_r)^(12*($D$39-$D$40)))/((1+m_r)^(12*($D$39-$D$40))-1)*(F56&lt;$D$39)*(F56&gt;=$D$40)),0)</f>
        <v>0</v>
      </c>
      <c r="P56" s="25">
        <f ca="1">IFERROR(((IF(Reikningur!$D$16="Frjálsa leiðin",Reikningur!$AJ$21,Reikningur!$AJ$22)*m_r*(1+m_r)^($D$44*12))/((1+m_r)^($D$44*12)-1)) * (M55&gt;=$D$43)*(COUNTIF($P$33:P55,"&gt;0")&lt;$D$44),0)</f>
        <v>0</v>
      </c>
      <c r="Q56" s="22">
        <f ca="1">IFERROR(((Reikningur!$AJ$61*m_r*(1+m_r)^($D$46*12))/((1+m_r)^($D$46*12)-1)) * (M56&gt;=$D$45)*(COUNTIF($Q$33:Q55,"&gt;0")&lt;$D$46),0)</f>
        <v>0</v>
      </c>
    </row>
    <row r="57" spans="3:24" ht="15" thickBot="1" x14ac:dyDescent="0.4">
      <c r="C57" s="123"/>
      <c r="D57" s="124"/>
      <c r="F57" s="4">
        <f t="shared" si="1"/>
        <v>124</v>
      </c>
      <c r="G57" s="25">
        <f t="shared" ca="1" si="2"/>
        <v>0</v>
      </c>
      <c r="H57" s="25">
        <f ca="1">IFERROR(((IF(Reikningur!$D$16="Frjálsa leiðin",Reikningur!$AL$39,Reikningur!$AL$40)*m_r*(1+m_r)^(12*($D$39-$D$40)))/((1+m_r)^(12*($D$39-$D$40))-1)*(F57&lt;$D$39)*(F57&gt;=$D$40)),0)</f>
        <v>0</v>
      </c>
      <c r="I57" s="25">
        <f ca="1">IFERROR(((IF(Reikningur!$D$16="Frjálsa leiðin",Reikningur!$AM$21,Reikningur!$AM$22)*m_r*(1+m_r)^($D$44*12))/((1+m_r)^($D$44*12)-1)) * (F57&gt;=$D$43)*(COUNTIF($I$33:I56,"&gt;0")&lt;$D$44),0)</f>
        <v>0</v>
      </c>
      <c r="J57" s="22">
        <f ca="1">IFERROR(((Reikningur!$AL$61*m_r*(1+m_r)^($D$46*12))/((1+m_r)^($D$46*12)-1)) * (F57&gt;=$D$45)*(COUNTIF($J$33:J56,"&gt;0")&lt;$D$46),0)</f>
        <v>0</v>
      </c>
      <c r="M57" s="4">
        <f t="shared" si="3"/>
        <v>124</v>
      </c>
      <c r="N57" s="25">
        <f t="shared" si="0"/>
        <v>0</v>
      </c>
      <c r="O57" s="25">
        <f ca="1">IFERROR(((IF(Reikningur!$D$16="Frjálsa leiðin",Reikningur!$AJ$39,Reikningur!$AJ$40)*m_r*(1+m_r)^(12*($D$39-$D$40)))/((1+m_r)^(12*($D$39-$D$40))-1)*(F57&lt;$D$39)*(F57&gt;=$D$40)),0)</f>
        <v>0</v>
      </c>
      <c r="P57" s="25">
        <f ca="1">IFERROR(((IF(Reikningur!$D$16="Frjálsa leiðin",Reikningur!$AJ$21,Reikningur!$AJ$22)*m_r*(1+m_r)^($D$44*12))/((1+m_r)^($D$44*12)-1)) * (M56&gt;=$D$43)*(COUNTIF($P$33:P56,"&gt;0")&lt;$D$44),0)</f>
        <v>0</v>
      </c>
      <c r="Q57" s="22">
        <f ca="1">IFERROR(((Reikningur!$AJ$61*m_r*(1+m_r)^($D$46*12))/((1+m_r)^($D$46*12)-1)) * (M57&gt;=$D$45)*(COUNTIF($Q$33:Q56,"&gt;0")&lt;$D$46),0)</f>
        <v>0</v>
      </c>
    </row>
    <row r="58" spans="3:24" ht="15.5" x14ac:dyDescent="0.35">
      <c r="C58" s="43" t="str">
        <f>+Reikningur!C57</f>
        <v>Samtrygging úr Frjálsu- mánaðarleg réttindi (0 ára)</v>
      </c>
      <c r="D58" s="98">
        <f>+Reikningur!D57</f>
        <v>0</v>
      </c>
      <c r="F58" s="4">
        <f t="shared" si="1"/>
        <v>125</v>
      </c>
      <c r="G58" s="25">
        <f t="shared" ca="1" si="2"/>
        <v>0</v>
      </c>
      <c r="H58" s="25">
        <f ca="1">IFERROR(((IF(Reikningur!$D$16="Frjálsa leiðin",Reikningur!$AL$39,Reikningur!$AL$40)*m_r*(1+m_r)^(12*($D$39-$D$40)))/((1+m_r)^(12*($D$39-$D$40))-1)*(F58&lt;$D$39)*(F58&gt;=$D$40)),0)</f>
        <v>0</v>
      </c>
      <c r="I58" s="25">
        <f ca="1">IFERROR(((IF(Reikningur!$D$16="Frjálsa leiðin",Reikningur!$AM$21,Reikningur!$AM$22)*m_r*(1+m_r)^($D$44*12))/((1+m_r)^($D$44*12)-1)) * (F58&gt;=$D$43)*(COUNTIF($I$33:I57,"&gt;0")&lt;$D$44),0)</f>
        <v>0</v>
      </c>
      <c r="J58" s="22">
        <f ca="1">IFERROR(((Reikningur!$AL$61*m_r*(1+m_r)^($D$46*12))/((1+m_r)^($D$46*12)-1)) * (F58&gt;=$D$45)*(COUNTIF($J$33:J57,"&gt;0")&lt;$D$46),0)</f>
        <v>0</v>
      </c>
      <c r="M58" s="4">
        <f t="shared" si="3"/>
        <v>125</v>
      </c>
      <c r="N58" s="25">
        <f t="shared" si="0"/>
        <v>0</v>
      </c>
      <c r="O58" s="25">
        <f ca="1">IFERROR(((IF(Reikningur!$D$16="Frjálsa leiðin",Reikningur!$AJ$39,Reikningur!$AJ$40)*m_r*(1+m_r)^(12*($D$39-$D$40)))/((1+m_r)^(12*($D$39-$D$40))-1)*(F58&lt;$D$39)*(F58&gt;=$D$40)),0)</f>
        <v>0</v>
      </c>
      <c r="P58" s="25">
        <f ca="1">IFERROR(((IF(Reikningur!$D$16="Frjálsa leiðin",Reikningur!$AJ$21,Reikningur!$AJ$22)*m_r*(1+m_r)^($D$44*12))/((1+m_r)^($D$44*12)-1)) * (M57&gt;=$D$43)*(COUNTIF($P$33:P57,"&gt;0")&lt;$D$44),0)</f>
        <v>0</v>
      </c>
      <c r="Q58" s="22">
        <f ca="1">IFERROR(((Reikningur!$AJ$61*m_r*(1+m_r)^($D$46*12))/((1+m_r)^($D$46*12)-1)) * (M58&gt;=$D$45)*(COUNTIF($Q$33:Q57,"&gt;0")&lt;$D$46),0)</f>
        <v>0</v>
      </c>
    </row>
    <row r="59" spans="3:24" ht="15.5" x14ac:dyDescent="0.35">
      <c r="C59" s="43" t="str">
        <f>+Reikningur!C58</f>
        <v>Bundin séreign - erfanleg heildareign (0 ára)</v>
      </c>
      <c r="D59" s="67">
        <f ca="1">+Reikningur!D58</f>
        <v>0</v>
      </c>
      <c r="F59" s="4">
        <f t="shared" si="1"/>
        <v>126</v>
      </c>
      <c r="G59" s="25">
        <f t="shared" ca="1" si="2"/>
        <v>0</v>
      </c>
      <c r="H59" s="25">
        <f ca="1">IFERROR(((IF(Reikningur!$D$16="Frjálsa leiðin",Reikningur!$AL$39,Reikningur!$AL$40)*m_r*(1+m_r)^(12*($D$39-$D$40)))/((1+m_r)^(12*($D$39-$D$40))-1)*(F59&lt;$D$39)*(F59&gt;=$D$40)),0)</f>
        <v>0</v>
      </c>
      <c r="I59" s="25">
        <f ca="1">IFERROR(((IF(Reikningur!$D$16="Frjálsa leiðin",Reikningur!$AM$21,Reikningur!$AM$22)*m_r*(1+m_r)^($D$44*12))/((1+m_r)^($D$44*12)-1)) * (F59&gt;=$D$43)*(COUNTIF($I$33:I58,"&gt;0")&lt;$D$44),0)</f>
        <v>0</v>
      </c>
      <c r="J59" s="22">
        <f ca="1">IFERROR(((Reikningur!$AL$61*m_r*(1+m_r)^($D$46*12))/((1+m_r)^($D$46*12)-1)) * (F59&gt;=$D$45)*(COUNTIF($J$33:J58,"&gt;0")&lt;$D$46),0)</f>
        <v>0</v>
      </c>
      <c r="M59" s="4">
        <f t="shared" si="3"/>
        <v>126</v>
      </c>
      <c r="N59" s="25">
        <f t="shared" si="0"/>
        <v>0</v>
      </c>
      <c r="O59" s="25">
        <f ca="1">IFERROR(((IF(Reikningur!$D$16="Frjálsa leiðin",Reikningur!$AJ$39,Reikningur!$AJ$40)*m_r*(1+m_r)^(12*($D$39-$D$40)))/((1+m_r)^(12*($D$39-$D$40))-1)*(F59&lt;$D$39)*(F59&gt;=$D$40)),0)</f>
        <v>0</v>
      </c>
      <c r="P59" s="25">
        <f ca="1">IFERROR(((IF(Reikningur!$D$16="Frjálsa leiðin",Reikningur!$AJ$21,Reikningur!$AJ$22)*m_r*(1+m_r)^($D$44*12))/((1+m_r)^($D$44*12)-1)) * (M58&gt;=$D$43)*(COUNTIF($P$33:P58,"&gt;0")&lt;$D$44),0)</f>
        <v>0</v>
      </c>
      <c r="Q59" s="22">
        <f ca="1">IFERROR(((Reikningur!$AJ$61*m_r*(1+m_r)^($D$46*12))/((1+m_r)^($D$46*12)-1)) * (M59&gt;=$D$45)*(COUNTIF($Q$33:Q58,"&gt;0")&lt;$D$46),0)</f>
        <v>0</v>
      </c>
    </row>
    <row r="60" spans="3:24" ht="15.5" x14ac:dyDescent="0.35">
      <c r="C60" s="43" t="str">
        <f>+Reikningur!C59</f>
        <v>Frjáls séreign - erfanleg heildareign (0 ára)</v>
      </c>
      <c r="D60" s="67">
        <f ca="1">+Reikningur!D59</f>
        <v>0</v>
      </c>
      <c r="F60" s="4">
        <f t="shared" si="1"/>
        <v>127</v>
      </c>
      <c r="G60" s="25">
        <f t="shared" ca="1" si="2"/>
        <v>0</v>
      </c>
      <c r="H60" s="25">
        <f ca="1">IFERROR(((IF(Reikningur!$D$16="Frjálsa leiðin",Reikningur!$AL$39,Reikningur!$AL$40)*m_r*(1+m_r)^(12*($D$39-$D$40)))/((1+m_r)^(12*($D$39-$D$40))-1)*(F60&lt;$D$39)*(F60&gt;=$D$40)),0)</f>
        <v>0</v>
      </c>
      <c r="I60" s="25">
        <f ca="1">IFERROR(((IF(Reikningur!$D$16="Frjálsa leiðin",Reikningur!$AM$21,Reikningur!$AM$22)*m_r*(1+m_r)^($D$44*12))/((1+m_r)^($D$44*12)-1)) * (F60&gt;=$D$43)*(COUNTIF($I$33:I59,"&gt;0")&lt;$D$44),0)</f>
        <v>0</v>
      </c>
      <c r="J60" s="22">
        <f ca="1">IFERROR(((Reikningur!$AL$61*m_r*(1+m_r)^($D$46*12))/((1+m_r)^($D$46*12)-1)) * (F60&gt;=$D$45)*(COUNTIF($J$33:J59,"&gt;0")&lt;$D$46),0)</f>
        <v>0</v>
      </c>
      <c r="M60" s="4">
        <f t="shared" si="3"/>
        <v>127</v>
      </c>
      <c r="N60" s="25">
        <f t="shared" si="0"/>
        <v>0</v>
      </c>
      <c r="O60" s="25">
        <f ca="1">IFERROR(((IF(Reikningur!$D$16="Frjálsa leiðin",Reikningur!$AJ$39,Reikningur!$AJ$40)*m_r*(1+m_r)^(12*($D$39-$D$40)))/((1+m_r)^(12*($D$39-$D$40))-1)*(F60&lt;$D$39)*(F60&gt;=$D$40)),0)</f>
        <v>0</v>
      </c>
      <c r="P60" s="25">
        <f ca="1">IFERROR(((IF(Reikningur!$D$16="Frjálsa leiðin",Reikningur!$AJ$21,Reikningur!$AJ$22)*m_r*(1+m_r)^($D$44*12))/((1+m_r)^($D$44*12)-1)) * (M59&gt;=$D$43)*(COUNTIF($P$33:P59,"&gt;0")&lt;$D$44),0)</f>
        <v>0</v>
      </c>
      <c r="Q60" s="22">
        <f ca="1">IFERROR(((Reikningur!$AJ$61*m_r*(1+m_r)^($D$46*12))/((1+m_r)^($D$46*12)-1)) * (M60&gt;=$D$45)*(COUNTIF($Q$33:Q59,"&gt;0")&lt;$D$46),0)</f>
        <v>0</v>
      </c>
    </row>
    <row r="61" spans="3:24" ht="15.5" x14ac:dyDescent="0.35">
      <c r="C61" s="43" t="str">
        <f>+Reikningur!C60</f>
        <v>Viðbótarsparnaður - erfanleg heildareign (0 ára)</v>
      </c>
      <c r="D61" s="67">
        <f ca="1">+Reikningur!D60</f>
        <v>0</v>
      </c>
      <c r="F61" s="4">
        <f t="shared" si="1"/>
        <v>128</v>
      </c>
      <c r="G61" s="25">
        <f t="shared" ca="1" si="2"/>
        <v>0</v>
      </c>
      <c r="H61" s="25">
        <f ca="1">IFERROR(((IF(Reikningur!$D$16="Frjálsa leiðin",Reikningur!$AL$39,Reikningur!$AL$40)*m_r*(1+m_r)^(12*($D$39-$D$40)))/((1+m_r)^(12*($D$39-$D$40))-1)*(F61&lt;$D$39)*(F61&gt;=$D$40)),0)</f>
        <v>0</v>
      </c>
      <c r="I61" s="25">
        <f ca="1">IFERROR(((IF(Reikningur!$D$16="Frjálsa leiðin",Reikningur!$AM$21,Reikningur!$AM$22)*m_r*(1+m_r)^($D$44*12))/((1+m_r)^($D$44*12)-1)) * (F61&gt;=$D$43)*(COUNTIF($I$33:I60,"&gt;0")&lt;$D$44),0)</f>
        <v>0</v>
      </c>
      <c r="J61" s="22">
        <f ca="1">IFERROR(((Reikningur!$AL$61*m_r*(1+m_r)^($D$46*12))/((1+m_r)^($D$46*12)-1)) * (F61&gt;=$D$45)*(COUNTIF($J$33:J60,"&gt;0")&lt;$D$46),0)</f>
        <v>0</v>
      </c>
      <c r="M61" s="4">
        <f t="shared" si="3"/>
        <v>128</v>
      </c>
      <c r="N61" s="25">
        <f t="shared" si="0"/>
        <v>0</v>
      </c>
      <c r="O61" s="25">
        <f ca="1">IFERROR(((IF(Reikningur!$D$16="Frjálsa leiðin",Reikningur!$AJ$39,Reikningur!$AJ$40)*m_r*(1+m_r)^(12*($D$39-$D$40)))/((1+m_r)^(12*($D$39-$D$40))-1)*(F61&lt;$D$39)*(F61&gt;=$D$40)),0)</f>
        <v>0</v>
      </c>
      <c r="P61" s="25">
        <f ca="1">IFERROR(((IF(Reikningur!$D$16="Frjálsa leiðin",Reikningur!$AJ$21,Reikningur!$AJ$22)*m_r*(1+m_r)^($D$44*12))/((1+m_r)^($D$44*12)-1)) * (M60&gt;=$D$43)*(COUNTIF($P$33:P60,"&gt;0")&lt;$D$44),0)</f>
        <v>0</v>
      </c>
      <c r="Q61" s="22">
        <f ca="1">IFERROR(((Reikningur!$AJ$61*m_r*(1+m_r)^($D$46*12))/((1+m_r)^($D$46*12)-1)) * (M61&gt;=$D$45)*(COUNTIF($Q$33:Q60,"&gt;0")&lt;$D$46),0)</f>
        <v>0</v>
      </c>
    </row>
    <row r="62" spans="3:24" ht="16" thickBot="1" x14ac:dyDescent="0.4">
      <c r="C62" s="51" t="str">
        <f>+Reikningur!C61</f>
        <v>Erfanleg séreign samtals (0 ára)</v>
      </c>
      <c r="D62" s="99">
        <f ca="1">D60+D61+D59</f>
        <v>0</v>
      </c>
      <c r="F62" s="6">
        <f t="shared" si="1"/>
        <v>129</v>
      </c>
      <c r="G62" s="23">
        <f t="shared" ca="1" si="2"/>
        <v>0</v>
      </c>
      <c r="H62" s="25">
        <f ca="1">IFERROR(((IF(Reikningur!$D$16="Frjálsa leiðin",Reikningur!$AL$39,Reikningur!$AL$40)*m_r*(1+m_r)^(12*($D$39-$D$40)))/((1+m_r)^(12*($D$39-$D$40))-1)*(F62&lt;$D$39)*(F62&gt;=$D$40)),0)</f>
        <v>0</v>
      </c>
      <c r="I62" s="25">
        <f ca="1">IFERROR(((IF(Reikningur!$D$16="Frjálsa leiðin",Reikningur!$AM$21,Reikningur!$AM$22)*m_r*(1+m_r)^($D$44*12))/((1+m_r)^($D$44*12)-1)) * (F62&gt;=$D$43)*(COUNTIF($I$33:I61,"&gt;0")&lt;$D$44),0)</f>
        <v>0</v>
      </c>
      <c r="J62" s="22">
        <f ca="1">IFERROR(((Reikningur!$AL$61*m_r*(1+m_r)^($D$46*12))/((1+m_r)^($D$46*12)-1)) * (F62&gt;=$D$45)*(COUNTIF($J$33:J61,"&gt;0")&lt;$D$46),0)</f>
        <v>0</v>
      </c>
      <c r="M62" s="6">
        <f t="shared" si="3"/>
        <v>129</v>
      </c>
      <c r="N62" s="23">
        <f t="shared" si="0"/>
        <v>0</v>
      </c>
      <c r="O62" s="25">
        <f ca="1">IFERROR(((IF(Reikningur!$D$16="Frjálsa leiðin",Reikningur!$AJ$39,Reikningur!$AJ$40)*m_r*(1+m_r)^(12*($D$39-$D$40)))/((1+m_r)^(12*($D$39-$D$40))-1)*(F62&lt;$D$39)*(F62&gt;=$D$40)),0)</f>
        <v>0</v>
      </c>
      <c r="P62" s="25">
        <f ca="1">IFERROR(((IF(Reikningur!$D$16="Frjálsa leiðin",Reikningur!$AJ$21,Reikningur!$AJ$22)*m_r*(1+m_r)^($D$44*12))/((1+m_r)^($D$44*12)-1)) * (M61&gt;=$D$43)*(COUNTIF($P$33:P61,"&gt;0")&lt;$D$44),0)</f>
        <v>0</v>
      </c>
      <c r="Q62" s="22">
        <f ca="1">IFERROR(((Reikningur!$AJ$61*m_r*(1+m_r)^($D$46*12))/((1+m_r)^($D$46*12)-1)) * (M62&gt;=$D$45)*(COUNTIF($Q$33:Q61,"&gt;0")&lt;$D$46),0)</f>
        <v>0</v>
      </c>
    </row>
    <row r="64" spans="3:24" x14ac:dyDescent="0.35">
      <c r="D64" s="93"/>
      <c r="I64" s="91"/>
    </row>
    <row r="66" spans="6:24" x14ac:dyDescent="0.35">
      <c r="F66" s="53"/>
    </row>
    <row r="67" spans="6:24" x14ac:dyDescent="0.35">
      <c r="H67" s="53"/>
      <c r="X67" s="54"/>
    </row>
    <row r="68" spans="6:24" x14ac:dyDescent="0.35">
      <c r="H68" s="53"/>
    </row>
    <row r="69" spans="6:24" x14ac:dyDescent="0.35">
      <c r="F69" s="53"/>
      <c r="J69" s="53"/>
      <c r="K69" s="53"/>
    </row>
    <row r="70" spans="6:24" x14ac:dyDescent="0.35">
      <c r="F70" s="53"/>
      <c r="I70" s="53"/>
      <c r="J70" s="53"/>
      <c r="K70" s="53"/>
    </row>
    <row r="71" spans="6:24" x14ac:dyDescent="0.35">
      <c r="F71" s="53"/>
      <c r="I71" s="53"/>
      <c r="J71" s="53"/>
      <c r="K71" s="53"/>
      <c r="T71" s="53"/>
    </row>
    <row r="72" spans="6:24" x14ac:dyDescent="0.35">
      <c r="F72" s="53"/>
      <c r="J72" s="53"/>
      <c r="K72" s="53"/>
    </row>
    <row r="73" spans="6:24" x14ac:dyDescent="0.35">
      <c r="F73" s="53"/>
      <c r="J73" s="53"/>
      <c r="K73" s="53"/>
    </row>
    <row r="74" spans="6:24" x14ac:dyDescent="0.35">
      <c r="F74" s="53"/>
      <c r="I74" s="53"/>
    </row>
    <row r="75" spans="6:24" x14ac:dyDescent="0.35">
      <c r="F75" s="53"/>
      <c r="H75" s="53"/>
    </row>
    <row r="76" spans="6:24" ht="17" x14ac:dyDescent="0.35">
      <c r="F76" s="53"/>
      <c r="H76" s="56"/>
      <c r="I76" s="53"/>
    </row>
    <row r="77" spans="6:24" x14ac:dyDescent="0.35">
      <c r="F77" s="53"/>
      <c r="H77" s="53"/>
      <c r="I77" s="53"/>
    </row>
    <row r="78" spans="6:24" x14ac:dyDescent="0.35">
      <c r="F78" s="53"/>
      <c r="H78" s="53"/>
      <c r="I78" s="53"/>
    </row>
    <row r="79" spans="6:24" x14ac:dyDescent="0.35">
      <c r="F79" s="53"/>
      <c r="H79" s="53"/>
      <c r="I79" s="53"/>
    </row>
    <row r="80" spans="6:24" x14ac:dyDescent="0.35">
      <c r="F80" s="53"/>
      <c r="H80" s="53"/>
      <c r="I80" s="53"/>
    </row>
    <row r="81" spans="6:9" x14ac:dyDescent="0.35">
      <c r="F81" s="53"/>
      <c r="H81" s="53"/>
      <c r="I81" s="53"/>
    </row>
    <row r="82" spans="6:9" x14ac:dyDescent="0.35">
      <c r="F82" s="53"/>
      <c r="H82" s="53"/>
      <c r="I82" s="53"/>
    </row>
    <row r="83" spans="6:9" x14ac:dyDescent="0.35">
      <c r="F83" s="53"/>
      <c r="H83" s="53"/>
      <c r="I83" s="53"/>
    </row>
    <row r="84" spans="6:9" x14ac:dyDescent="0.35">
      <c r="F84" s="53"/>
      <c r="H84" s="53"/>
      <c r="I84" s="53"/>
    </row>
  </sheetData>
  <sheetProtection selectLockedCells="1"/>
  <mergeCells count="6">
    <mergeCell ref="C48:D49"/>
    <mergeCell ref="C56:D57"/>
    <mergeCell ref="C9:D10"/>
    <mergeCell ref="C18:D19"/>
    <mergeCell ref="C30:D31"/>
    <mergeCell ref="C37:D38"/>
  </mergeCells>
  <dataValidations count="3">
    <dataValidation type="decimal" allowBlank="1" showInputMessage="1" showErrorMessage="1" sqref="D50:D53 D32:D36 D58:D61" xr:uid="{B0CC0E86-93A2-4C9B-95E2-3543FE0B4BC7}">
      <formula1>0</formula1>
      <formula2>10000000000</formula2>
    </dataValidation>
    <dataValidation type="decimal" allowBlank="1" showInputMessage="1" showErrorMessage="1" sqref="D14" xr:uid="{17720B5B-11FA-4A53-90EE-F22820762960}">
      <formula1>0</formula1>
      <formula2>10000000</formula2>
    </dataValidation>
    <dataValidation type="decimal" allowBlank="1" showInputMessage="1" showErrorMessage="1" sqref="D30:D31 D18:D19" xr:uid="{F15F1F6D-7F8D-48D9-9107-EE90BE93BE4D}">
      <formula1>0.01</formula1>
      <formula2>0.1</formula2>
    </dataValidation>
  </dataValidations>
  <pageMargins left="0.7" right="0.7" top="0.75" bottom="0.75" header="0.3" footer="0.3"/>
  <pageSetup paperSize="9" orientation="landscape" r:id="rId1"/>
  <drawing r:id="rId2"/>
  <extLst>
    <ext xmlns:x14="http://schemas.microsoft.com/office/spreadsheetml/2009/9/main" uri="{CCE6A557-97BC-4b89-ADB6-D9C93CAAB3DF}">
      <x14:dataValidations xmlns:xm="http://schemas.microsoft.com/office/excel/2006/main" count="8">
        <x14:dataValidation type="list" allowBlank="1" showInputMessage="1" showErrorMessage="1" xr:uid="{D623AB26-4B94-47CA-9546-D9D17DE69270}">
          <x14:formula1>
            <xm:f>Reikningur!$AT$26:$AT$44</xm:f>
          </x14:formula1>
          <xm:sqref>D17</xm:sqref>
        </x14:dataValidation>
        <x14:dataValidation type="list" allowBlank="1" showInputMessage="1" showErrorMessage="1" xr:uid="{2457FFB5-D993-4D34-9FCF-A4C7BD4A5659}">
          <x14:formula1>
            <xm:f>Reikningur!$AQ$26:$AQ$28</xm:f>
          </x14:formula1>
          <xm:sqref>D15:D16</xm:sqref>
        </x14:dataValidation>
        <x14:dataValidation type="list" allowBlank="1" showInputMessage="1" showErrorMessage="1" xr:uid="{06EFA915-36CD-4058-99BE-CEDA05C212EC}">
          <x14:formula1>
            <xm:f>Reikningur!$AS$26:$AS$28</xm:f>
          </x14:formula1>
          <xm:sqref>D16</xm:sqref>
        </x14:dataValidation>
        <x14:dataValidation type="list" allowBlank="1" showInputMessage="1" showErrorMessage="1" xr:uid="{9E91A7BB-16E2-4EE0-BF1B-A1A799F43B05}">
          <x14:formula1>
            <xm:f>Reikningur!$AR$26:$AR$45</xm:f>
          </x14:formula1>
          <xm:sqref>D13</xm:sqref>
        </x14:dataValidation>
        <x14:dataValidation type="list" allowBlank="1" showInputMessage="1" showErrorMessage="1" xr:uid="{5FC61954-21A3-4F59-810F-D75D85620473}">
          <x14:formula1>
            <xm:f>Reikningur!$K$7:$K$36</xm:f>
          </x14:formula1>
          <xm:sqref>D46 D44</xm:sqref>
        </x14:dataValidation>
        <x14:dataValidation type="list" allowBlank="1" showInputMessage="1" showErrorMessage="1" xr:uid="{8FA93986-3369-4D5C-86E7-6641A6E3A510}">
          <x14:formula1>
            <xm:f>'Frjálsa leiðin'!$C$2:$BN$2</xm:f>
          </x14:formula1>
          <xm:sqref>D11</xm:sqref>
        </x14:dataValidation>
        <x14:dataValidation type="list" allowBlank="1" showInputMessage="1" showErrorMessage="1" xr:uid="{8262BCF5-0A22-48E8-8DC9-0811FC226571}">
          <x14:formula1>
            <xm:f>Reikningur!$L$7:$L$60</xm:f>
          </x14:formula1>
          <xm:sqref>D12</xm:sqref>
        </x14:dataValidation>
        <x14:dataValidation type="list" allowBlank="1" showInputMessage="1" showErrorMessage="1" xr:uid="{B5D9AA00-B175-465F-A692-FCA3DE68CC65}">
          <x14:formula1>
            <xm:f>Reikningur!$AP$27:$AP$46</xm:f>
          </x14:formula1>
          <xm:sqref>D39 D45 D43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E05AD0-0964-4E7D-93C2-E90BABCB4A4D}">
  <dimension ref="B2:AU661"/>
  <sheetViews>
    <sheetView topLeftCell="T18" zoomScale="78" zoomScaleNormal="70" workbookViewId="0">
      <selection activeCell="AM32" sqref="AM32"/>
    </sheetView>
  </sheetViews>
  <sheetFormatPr defaultRowHeight="14.5" x14ac:dyDescent="0.35"/>
  <cols>
    <col min="3" max="3" width="54.54296875" customWidth="1"/>
    <col min="4" max="4" width="22.7265625" customWidth="1"/>
    <col min="5" max="5" width="11.453125" bestFit="1" customWidth="1"/>
    <col min="6" max="6" width="13.54296875" bestFit="1" customWidth="1"/>
    <col min="7" max="7" width="9.26953125" bestFit="1" customWidth="1"/>
    <col min="9" max="9" width="10.453125" customWidth="1"/>
    <col min="10" max="10" width="3" style="9" customWidth="1"/>
    <col min="11" max="13" width="9.1796875" customWidth="1"/>
    <col min="14" max="14" width="24.26953125" customWidth="1"/>
    <col min="15" max="15" width="3.1796875" style="9" customWidth="1"/>
    <col min="16" max="16" width="9.1796875" customWidth="1"/>
    <col min="17" max="17" width="19.453125" customWidth="1"/>
    <col min="18" max="18" width="14.54296875" customWidth="1"/>
    <col min="19" max="19" width="15" customWidth="1"/>
    <col min="20" max="20" width="23" style="10" customWidth="1"/>
    <col min="21" max="21" width="3.453125" style="9" customWidth="1"/>
    <col min="22" max="22" width="9.1796875" customWidth="1"/>
    <col min="23" max="23" width="18.81640625" customWidth="1"/>
    <col min="24" max="24" width="14.54296875" customWidth="1"/>
    <col min="25" max="25" width="15" customWidth="1"/>
    <col min="26" max="26" width="15.54296875" style="10" customWidth="1"/>
    <col min="27" max="27" width="3.26953125" style="9" customWidth="1"/>
    <col min="28" max="28" width="13.54296875" customWidth="1"/>
    <col min="29" max="29" width="40" customWidth="1"/>
    <col min="30" max="30" width="10.81640625" bestFit="1" customWidth="1"/>
    <col min="31" max="31" width="13.7265625" bestFit="1" customWidth="1"/>
    <col min="32" max="32" width="13.54296875" customWidth="1"/>
    <col min="33" max="33" width="2.453125" style="9" customWidth="1"/>
    <col min="34" max="35" width="13.54296875" customWidth="1"/>
    <col min="36" max="36" width="27" customWidth="1"/>
    <col min="37" max="37" width="26" bestFit="1" customWidth="1"/>
    <col min="38" max="38" width="25.453125" bestFit="1" customWidth="1"/>
    <col min="39" max="42" width="13.54296875" customWidth="1"/>
    <col min="43" max="43" width="15.81640625" bestFit="1" customWidth="1"/>
  </cols>
  <sheetData>
    <row r="2" spans="3:39" ht="15" thickBot="1" x14ac:dyDescent="0.4"/>
    <row r="3" spans="3:39" ht="15" thickBot="1" x14ac:dyDescent="0.4">
      <c r="Q3" t="s">
        <v>7</v>
      </c>
      <c r="R3" s="18">
        <f ca="1">SUM(S7:S60)</f>
        <v>0</v>
      </c>
      <c r="S3" t="s">
        <v>8</v>
      </c>
      <c r="T3" s="25">
        <f>D31</f>
        <v>0</v>
      </c>
      <c r="W3" t="s">
        <v>9</v>
      </c>
      <c r="X3" s="18">
        <f ca="1">SUM(Y7:Y60)</f>
        <v>0</v>
      </c>
      <c r="Y3" t="s">
        <v>10</v>
      </c>
      <c r="Z3" s="25">
        <f>D31</f>
        <v>0</v>
      </c>
    </row>
    <row r="4" spans="3:39" ht="15" thickBot="1" x14ac:dyDescent="0.4">
      <c r="Q4" t="s">
        <v>11</v>
      </c>
      <c r="R4" s="80">
        <f ca="1">R3*(1+SUM(AE15:AE34)*12)</f>
        <v>0</v>
      </c>
      <c r="S4" t="s">
        <v>12</v>
      </c>
      <c r="T4" s="25">
        <f>+IF(D15="Leið 1",T3,IF(D15="Leið 2",T3/(1+SUM(AD25:AD29)*12),IF(D15="Leið 3",T3/(1+SUM(AD25:AD34)*12))))</f>
        <v>0</v>
      </c>
      <c r="W4" t="s">
        <v>11</v>
      </c>
      <c r="X4" s="81">
        <f ca="1">X3*(1+SUM(AE8:AE10)*12)</f>
        <v>0</v>
      </c>
      <c r="Y4" t="s">
        <v>13</v>
      </c>
      <c r="Z4" s="25">
        <f>Z3*(1+SUM(AE8:AE10)*12)</f>
        <v>0</v>
      </c>
    </row>
    <row r="5" spans="3:39" x14ac:dyDescent="0.35">
      <c r="S5" t="s">
        <v>13</v>
      </c>
      <c r="T5" s="25">
        <f>T4*(1+SUM(AE15:AE34)*12)</f>
        <v>0</v>
      </c>
    </row>
    <row r="6" spans="3:39" ht="15" thickBot="1" x14ac:dyDescent="0.4">
      <c r="C6" s="130" t="s">
        <v>14</v>
      </c>
      <c r="D6" s="131"/>
      <c r="L6" t="s">
        <v>15</v>
      </c>
      <c r="M6" t="s">
        <v>16</v>
      </c>
      <c r="N6" t="s">
        <v>17</v>
      </c>
      <c r="Q6" t="s">
        <v>18</v>
      </c>
      <c r="R6" t="s">
        <v>19</v>
      </c>
      <c r="S6" t="s">
        <v>20</v>
      </c>
      <c r="W6" t="s">
        <v>18</v>
      </c>
      <c r="X6" t="s">
        <v>19</v>
      </c>
      <c r="Y6" t="s">
        <v>20</v>
      </c>
      <c r="AJ6" s="26"/>
    </row>
    <row r="7" spans="3:39" ht="15" customHeight="1" thickBot="1" x14ac:dyDescent="0.4">
      <c r="C7" s="132"/>
      <c r="D7" s="133"/>
      <c r="K7">
        <v>1</v>
      </c>
      <c r="L7">
        <v>16</v>
      </c>
      <c r="M7">
        <f t="shared" ref="M7:M38" si="0">$D$8+L7</f>
        <v>1986</v>
      </c>
      <c r="N7">
        <f ca="1">IF(AND(L7&gt;=$D$9,L7&lt;$D$10),1,0)</f>
        <v>0</v>
      </c>
      <c r="P7">
        <f t="array" aca="1" ref="P7:P60" ca="1">OFFSET('Frjálsa leiðin'!$B$3:$B$56,,MATCH(Reikningur!$D$8,'Frjálsa leiðin'!$C$2:$BN$2,0))-R7:R60</f>
        <v>0</v>
      </c>
      <c r="Q7" s="25">
        <f>D20</f>
        <v>0</v>
      </c>
      <c r="R7">
        <f>INDEX('Frjálsa leiðin'!$C$3:$BN$56,MATCH(Reikningur!L7,'Frjálsa leiðin'!$B$3:$B$56),MATCH(Reikningur!$D$8,'Frjálsa leiðin'!$C$2:$BN$2))</f>
        <v>3992</v>
      </c>
      <c r="S7" s="12">
        <f ca="1">N7*Q7*R7/10000</f>
        <v>0</v>
      </c>
      <c r="T7" s="11"/>
      <c r="V7">
        <f t="array" aca="1" ref="V7:V60" ca="1">OFFSET('Erfanlega leiðin'!$B$3:$B$56,0,MATCH(Reikningur!$D$8,'Erfanlega leiðin'!$C$2:$BN$2,0))-$X$7:$X$60</f>
        <v>0</v>
      </c>
      <c r="W7" s="25">
        <f>D23</f>
        <v>0</v>
      </c>
      <c r="X7">
        <f>INDEX('Erfanlega leiðin'!$C$3:$BN$56,MATCH(Reikningur!L7,'Erfanlega leiðin'!$B$3:$B$56),MATCH(Reikningur!$D$8,'Erfanlega leiðin'!$C$2:$BN$2))</f>
        <v>10939</v>
      </c>
      <c r="Y7" s="12">
        <f ca="1">N7*W7*X7/10000</f>
        <v>0</v>
      </c>
      <c r="Z7" s="11"/>
      <c r="AC7" s="16" t="s">
        <v>21</v>
      </c>
      <c r="AD7" s="21"/>
      <c r="AE7" s="78" t="s">
        <v>22</v>
      </c>
    </row>
    <row r="8" spans="3:39" ht="14.5" customHeight="1" x14ac:dyDescent="0.35">
      <c r="C8" s="42" t="s">
        <v>23</v>
      </c>
      <c r="D8" s="57">
        <f>Reiknivél!D12</f>
        <v>1970</v>
      </c>
      <c r="K8">
        <v>2</v>
      </c>
      <c r="L8">
        <v>17</v>
      </c>
      <c r="M8">
        <f t="shared" si="0"/>
        <v>1987</v>
      </c>
      <c r="N8">
        <f t="shared" ref="N8:N38" ca="1" si="1">IF(AND(L8&gt;=$D$9,L8&lt;$D$10),1,0)</f>
        <v>0</v>
      </c>
      <c r="P8">
        <f ca="1"/>
        <v>0</v>
      </c>
      <c r="Q8" s="25">
        <f>Q7</f>
        <v>0</v>
      </c>
      <c r="R8">
        <f>INDEX('Frjálsa leiðin'!$C$3:$BN$56,MATCH(Reikningur!L8,'Frjálsa leiðin'!$B$3:$B$56),MATCH(Reikningur!$D$8,'Frjálsa leiðin'!$C$2:$BN$2))</f>
        <v>3785</v>
      </c>
      <c r="S8" s="12">
        <f ca="1">N8*Q8*R8/10000</f>
        <v>0</v>
      </c>
      <c r="T8" s="11"/>
      <c r="V8">
        <f ca="1"/>
        <v>0</v>
      </c>
      <c r="W8" s="25">
        <f>W7</f>
        <v>0</v>
      </c>
      <c r="X8">
        <f>INDEX('Erfanlega leiðin'!$C$3:$BN$56,MATCH(Reikningur!L8,'Erfanlega leiðin'!$B$3:$B$56),MATCH(Reikningur!$D$8,'Erfanlega leiðin'!$C$2:$BN$2))</f>
        <v>10089</v>
      </c>
      <c r="Y8" s="12">
        <f t="shared" ref="Y8:Y60" ca="1" si="2">N8*W8*X8/10000</f>
        <v>0</v>
      </c>
      <c r="Z8" s="11"/>
      <c r="AC8" s="4">
        <v>82</v>
      </c>
      <c r="AD8" s="20">
        <f>INDEX('Erfanlega lækkun lífeyris'!$C$3:$E$79,MATCH(Reikningur!$D$8,'Erfanlega lækkun lífeyris'!$B$3:$B$79,0),MATCH(Reikningur!AC8,'Erfanlega lækkun lífeyris'!$C$2:$E$2,0))*($D$42&lt;=AC8)</f>
        <v>7.2040000000000003E-3</v>
      </c>
      <c r="AE8" s="19">
        <f>IF($D$37&lt;=AC8,-AD8,0)</f>
        <v>-7.2040000000000003E-3</v>
      </c>
      <c r="AI8" s="16" t="s">
        <v>24</v>
      </c>
      <c r="AJ8" s="21"/>
      <c r="AK8" s="21"/>
      <c r="AL8" s="21"/>
      <c r="AM8" s="17"/>
    </row>
    <row r="9" spans="3:39" x14ac:dyDescent="0.35">
      <c r="C9" s="42" t="s">
        <v>25</v>
      </c>
      <c r="D9" s="58">
        <f ca="1">Reiknivél!D13</f>
        <v>55</v>
      </c>
      <c r="K9">
        <v>3</v>
      </c>
      <c r="L9">
        <v>18</v>
      </c>
      <c r="M9">
        <f t="shared" si="0"/>
        <v>1988</v>
      </c>
      <c r="N9">
        <f t="shared" ca="1" si="1"/>
        <v>0</v>
      </c>
      <c r="P9">
        <f ca="1"/>
        <v>0</v>
      </c>
      <c r="Q9" s="25">
        <f t="shared" ref="Q9:Q60" si="3">Q8</f>
        <v>0</v>
      </c>
      <c r="R9">
        <f>INDEX('Frjálsa leiðin'!$C$3:$BN$56,MATCH(Reikningur!L9,'Frjálsa leiðin'!$B$3:$B$56),MATCH(Reikningur!$D$8,'Frjálsa leiðin'!$C$2:$BN$2))</f>
        <v>3596</v>
      </c>
      <c r="S9" s="12">
        <f t="shared" ref="S9:S60" ca="1" si="4">N9*Q9*R9/10000</f>
        <v>0</v>
      </c>
      <c r="T9" s="11"/>
      <c r="V9">
        <f ca="1"/>
        <v>0</v>
      </c>
      <c r="W9" s="25">
        <f t="shared" ref="W9:W60" si="5">W8</f>
        <v>0</v>
      </c>
      <c r="X9">
        <f>INDEX('Erfanlega leiðin'!$C$3:$BN$56,MATCH(Reikningur!L9,'Erfanlega leiðin'!$B$3:$B$56),MATCH(Reikningur!$D$8,'Erfanlega leiðin'!$C$2:$BN$2))</f>
        <v>9343</v>
      </c>
      <c r="Y9" s="12">
        <f t="shared" ca="1" si="2"/>
        <v>0</v>
      </c>
      <c r="Z9" s="11"/>
      <c r="AC9" s="4">
        <v>83</v>
      </c>
      <c r="AD9" s="20">
        <f>INDEX('Erfanlega lækkun lífeyris'!$C$3:$E$79,MATCH(Reikningur!$D$8,'Erfanlega lækkun lífeyris'!$B$3:$B$79,0),MATCH(Reikningur!AC9,'Erfanlega lækkun lífeyris'!$C$2:$E$2,0))*($D$42&lt;=AC9)</f>
        <v>9.4359999999999999E-3</v>
      </c>
      <c r="AE9" s="19">
        <f>IF($D$37&lt;=AC9,-AD9,0)</f>
        <v>-9.4359999999999999E-3</v>
      </c>
      <c r="AI9" s="4"/>
      <c r="AM9" s="5"/>
    </row>
    <row r="10" spans="3:39" ht="15" thickBot="1" x14ac:dyDescent="0.4">
      <c r="C10" s="42" t="s">
        <v>26</v>
      </c>
      <c r="D10" s="58">
        <f>Reiknivél!D14</f>
        <v>0</v>
      </c>
      <c r="K10">
        <v>4</v>
      </c>
      <c r="L10">
        <v>19</v>
      </c>
      <c r="M10">
        <f t="shared" si="0"/>
        <v>1989</v>
      </c>
      <c r="N10">
        <f t="shared" ca="1" si="1"/>
        <v>0</v>
      </c>
      <c r="P10">
        <f ca="1"/>
        <v>0</v>
      </c>
      <c r="Q10" s="25">
        <f t="shared" si="3"/>
        <v>0</v>
      </c>
      <c r="R10">
        <f>INDEX('Frjálsa leiðin'!$C$3:$BN$56,MATCH(Reikningur!L10,'Frjálsa leiðin'!$B$3:$B$56),MATCH(Reikningur!$D$8,'Frjálsa leiðin'!$C$2:$BN$2))</f>
        <v>3422</v>
      </c>
      <c r="S10" s="12">
        <f t="shared" ca="1" si="4"/>
        <v>0</v>
      </c>
      <c r="T10" s="11"/>
      <c r="V10">
        <f ca="1"/>
        <v>0</v>
      </c>
      <c r="W10" s="25">
        <f t="shared" si="5"/>
        <v>0</v>
      </c>
      <c r="X10">
        <f>INDEX('Erfanlega leiðin'!$C$3:$BN$56,MATCH(Reikningur!L10,'Erfanlega leiðin'!$B$3:$B$56),MATCH(Reikningur!$D$8,'Erfanlega leiðin'!$C$2:$BN$2))</f>
        <v>8685</v>
      </c>
      <c r="Y10" s="12">
        <f t="shared" ca="1" si="2"/>
        <v>0</v>
      </c>
      <c r="Z10" s="11"/>
      <c r="AB10" s="77"/>
      <c r="AC10" s="6">
        <v>84</v>
      </c>
      <c r="AD10" s="79">
        <f>INDEX('Erfanlega lækkun lífeyris'!$C$3:$E$79,MATCH(Reikningur!$D$8,'Erfanlega lækkun lífeyris'!$B$3:$B$79,0),MATCH(Reikningur!AC10,'Erfanlega lækkun lífeyris'!$C$2:$E$2,0))*($D$42&lt;=AC10)</f>
        <v>1.2710000000000001E-2</v>
      </c>
      <c r="AE10" s="19">
        <f>IF($D$37&lt;=AC10,-AD10,0)</f>
        <v>-1.2710000000000001E-2</v>
      </c>
      <c r="AI10" s="4" t="s">
        <v>27</v>
      </c>
      <c r="AJ10" t="s">
        <v>28</v>
      </c>
      <c r="AK10" t="s">
        <v>29</v>
      </c>
      <c r="AL10" t="s">
        <v>30</v>
      </c>
      <c r="AM10" s="5"/>
    </row>
    <row r="11" spans="3:39" x14ac:dyDescent="0.35">
      <c r="C11" s="42" t="s">
        <v>31</v>
      </c>
      <c r="D11" s="59">
        <f>Reiknivél!D15</f>
        <v>0</v>
      </c>
      <c r="K11">
        <v>5</v>
      </c>
      <c r="L11">
        <v>20</v>
      </c>
      <c r="M11">
        <f t="shared" si="0"/>
        <v>1990</v>
      </c>
      <c r="N11">
        <f t="shared" ca="1" si="1"/>
        <v>0</v>
      </c>
      <c r="P11">
        <f ca="1"/>
        <v>0</v>
      </c>
      <c r="Q11" s="25">
        <f t="shared" si="3"/>
        <v>0</v>
      </c>
      <c r="R11">
        <f>INDEX('Frjálsa leiðin'!$C$3:$BN$56,MATCH(Reikningur!L11,'Frjálsa leiðin'!$B$3:$B$56),MATCH(Reikningur!$D$8,'Frjálsa leiðin'!$C$2:$BN$2))</f>
        <v>3261</v>
      </c>
      <c r="S11" s="12">
        <f t="shared" ca="1" si="4"/>
        <v>0</v>
      </c>
      <c r="T11" s="11"/>
      <c r="V11">
        <f ca="1"/>
        <v>0</v>
      </c>
      <c r="W11" s="25">
        <f t="shared" si="5"/>
        <v>0</v>
      </c>
      <c r="X11">
        <f>INDEX('Erfanlega leiðin'!$C$3:$BN$56,MATCH(Reikningur!L11,'Erfanlega leiðin'!$B$3:$B$56),MATCH(Reikningur!$D$8,'Erfanlega leiðin'!$C$2:$BN$2))</f>
        <v>8100</v>
      </c>
      <c r="Y11" s="12">
        <f t="shared" ca="1" si="2"/>
        <v>0</v>
      </c>
      <c r="Z11" s="11"/>
      <c r="AC11" s="118">
        <v>85</v>
      </c>
      <c r="AD11" s="15"/>
      <c r="AI11" s="4" t="s">
        <v>32</v>
      </c>
      <c r="AJ11" s="25">
        <f>D33+IF(OR(D15="Leið 2",D15="Leið 3"),D32,0)</f>
        <v>0</v>
      </c>
      <c r="AK11" s="25">
        <f ca="1">D21*((1+m_r)^(12*(MIN(D10,70)-D9))-1)/(m_r)</f>
        <v>0</v>
      </c>
      <c r="AL11" s="25">
        <f>IF(D10&lt;=70,0,D11*E19*((1+m_r)^(12*(D10-70))-1)/(m_r))</f>
        <v>0</v>
      </c>
      <c r="AM11" s="5"/>
    </row>
    <row r="12" spans="3:39" ht="15" thickBot="1" x14ac:dyDescent="0.4">
      <c r="C12" s="42" t="s">
        <v>33</v>
      </c>
      <c r="D12" s="60">
        <f>Reiknivél!D16</f>
        <v>0</v>
      </c>
      <c r="K12">
        <v>6</v>
      </c>
      <c r="L12">
        <v>21</v>
      </c>
      <c r="M12">
        <f t="shared" si="0"/>
        <v>1991</v>
      </c>
      <c r="N12">
        <f t="shared" ca="1" si="1"/>
        <v>0</v>
      </c>
      <c r="P12">
        <f ca="1"/>
        <v>0</v>
      </c>
      <c r="Q12" s="25">
        <f t="shared" si="3"/>
        <v>0</v>
      </c>
      <c r="R12">
        <f>INDEX('Frjálsa leiðin'!$C$3:$BN$56,MATCH(Reikningur!L12,'Frjálsa leiðin'!$B$3:$B$56),MATCH(Reikningur!$D$8,'Frjálsa leiðin'!$C$2:$BN$2))</f>
        <v>3112</v>
      </c>
      <c r="S12" s="12">
        <f t="shared" ca="1" si="4"/>
        <v>0</v>
      </c>
      <c r="T12" s="11"/>
      <c r="V12">
        <f ca="1"/>
        <v>0</v>
      </c>
      <c r="W12" s="25">
        <f t="shared" si="5"/>
        <v>0</v>
      </c>
      <c r="X12">
        <f>INDEX('Erfanlega leiðin'!$C$3:$BN$56,MATCH(Reikningur!L12,'Erfanlega leiðin'!$B$3:$B$56),MATCH(Reikningur!$D$8,'Erfanlega leiðin'!$C$2:$BN$2))</f>
        <v>7577</v>
      </c>
      <c r="Y12" s="12">
        <f ca="1">N12*W12*X12/10000</f>
        <v>0</v>
      </c>
      <c r="Z12" s="11"/>
      <c r="AI12" s="4" t="s">
        <v>34</v>
      </c>
      <c r="AJ12" s="25">
        <f>D33</f>
        <v>0</v>
      </c>
      <c r="AK12" s="25">
        <f ca="1">D25*((1+m_r)^(12*(MIN(D10,70)-D9))-1)/(m_r)</f>
        <v>0</v>
      </c>
      <c r="AL12" s="25">
        <f>IF(D10&lt;=70,0,D11*E19*((1+m_r)^(12*(D10-70))-1)/(m_r))</f>
        <v>0</v>
      </c>
      <c r="AM12" s="5"/>
    </row>
    <row r="13" spans="3:39" x14ac:dyDescent="0.35">
      <c r="C13" s="43" t="s">
        <v>35</v>
      </c>
      <c r="D13" s="92" t="s">
        <v>36</v>
      </c>
      <c r="F13" s="38" t="s">
        <v>37</v>
      </c>
      <c r="K13">
        <v>7</v>
      </c>
      <c r="L13">
        <v>22</v>
      </c>
      <c r="M13">
        <f t="shared" si="0"/>
        <v>1992</v>
      </c>
      <c r="N13">
        <f t="shared" ca="1" si="1"/>
        <v>0</v>
      </c>
      <c r="P13">
        <f ca="1"/>
        <v>0</v>
      </c>
      <c r="Q13" s="25">
        <f t="shared" si="3"/>
        <v>0</v>
      </c>
      <c r="R13">
        <f>INDEX('Frjálsa leiðin'!$C$3:$BN$56,MATCH(Reikningur!L13,'Frjálsa leiðin'!$B$3:$B$56),MATCH(Reikningur!$D$8,'Frjálsa leiðin'!$C$2:$BN$2))</f>
        <v>2973</v>
      </c>
      <c r="S13" s="12">
        <f t="shared" ca="1" si="4"/>
        <v>0</v>
      </c>
      <c r="T13" s="11"/>
      <c r="V13">
        <f ca="1"/>
        <v>0</v>
      </c>
      <c r="W13" s="25">
        <f t="shared" si="5"/>
        <v>0</v>
      </c>
      <c r="X13">
        <f>INDEX('Erfanlega leiðin'!$C$3:$BN$56,MATCH(Reikningur!L13,'Erfanlega leiðin'!$B$3:$B$56),MATCH(Reikningur!$D$8,'Erfanlega leiðin'!$C$2:$BN$2))</f>
        <v>7105</v>
      </c>
      <c r="Y13" s="12">
        <f t="shared" ca="1" si="2"/>
        <v>0</v>
      </c>
      <c r="Z13" s="11"/>
      <c r="AC13" s="16" t="s">
        <v>38</v>
      </c>
      <c r="AD13" s="21"/>
      <c r="AE13" s="17"/>
      <c r="AI13" s="4"/>
      <c r="AM13" s="5"/>
    </row>
    <row r="14" spans="3:39" ht="14.5" customHeight="1" thickBot="1" x14ac:dyDescent="0.4">
      <c r="C14" s="42" t="s">
        <v>39</v>
      </c>
      <c r="D14" s="83">
        <f>Reiknivél!D17</f>
        <v>3.5000000000000003E-2</v>
      </c>
      <c r="F14" s="39">
        <f>(1+D14)^(1/12)-1</f>
        <v>2.8708987190766422E-3</v>
      </c>
      <c r="K14">
        <v>8</v>
      </c>
      <c r="L14">
        <v>23</v>
      </c>
      <c r="M14">
        <f t="shared" si="0"/>
        <v>1993</v>
      </c>
      <c r="N14">
        <f t="shared" ca="1" si="1"/>
        <v>0</v>
      </c>
      <c r="P14">
        <f ca="1"/>
        <v>0</v>
      </c>
      <c r="Q14" s="25">
        <f t="shared" si="3"/>
        <v>0</v>
      </c>
      <c r="R14">
        <f>INDEX('Frjálsa leiðin'!$C$3:$BN$56,MATCH(Reikningur!L14,'Frjálsa leiðin'!$B$3:$B$56),MATCH(Reikningur!$D$8,'Frjálsa leiðin'!$C$2:$BN$2))</f>
        <v>2843</v>
      </c>
      <c r="S14" s="12">
        <f t="shared" ca="1" si="4"/>
        <v>0</v>
      </c>
      <c r="T14" s="11"/>
      <c r="V14">
        <f ca="1"/>
        <v>0</v>
      </c>
      <c r="W14" s="25">
        <f t="shared" si="5"/>
        <v>0</v>
      </c>
      <c r="X14">
        <f>INDEX('Erfanlega leiðin'!$C$3:$BN$56,MATCH(Reikningur!L14,'Erfanlega leiðin'!$B$3:$B$56),MATCH(Reikningur!$D$8,'Erfanlega leiðin'!$C$2:$BN$2))</f>
        <v>6678</v>
      </c>
      <c r="Y14" s="12">
        <f t="shared" ca="1" si="2"/>
        <v>0</v>
      </c>
      <c r="Z14" s="11"/>
      <c r="AC14" s="4"/>
      <c r="AD14">
        <f>D8</f>
        <v>1970</v>
      </c>
      <c r="AE14" s="5" t="s">
        <v>22</v>
      </c>
      <c r="AI14" s="4" t="s">
        <v>40</v>
      </c>
      <c r="AM14" s="5"/>
    </row>
    <row r="15" spans="3:39" ht="15" customHeight="1" thickBot="1" x14ac:dyDescent="0.4">
      <c r="C15" t="s">
        <v>41</v>
      </c>
      <c r="D15" s="92" t="str">
        <f>+Reiknivél!D18</f>
        <v>Leið 1</v>
      </c>
      <c r="K15">
        <v>9</v>
      </c>
      <c r="L15">
        <v>24</v>
      </c>
      <c r="M15">
        <f t="shared" si="0"/>
        <v>1994</v>
      </c>
      <c r="N15">
        <f t="shared" ca="1" si="1"/>
        <v>0</v>
      </c>
      <c r="P15">
        <f ca="1"/>
        <v>0</v>
      </c>
      <c r="Q15" s="25">
        <f t="shared" si="3"/>
        <v>0</v>
      </c>
      <c r="R15">
        <f>INDEX('Frjálsa leiðin'!$C$3:$BN$56,MATCH(Reikningur!L15,'Frjálsa leiðin'!$B$3:$B$56),MATCH(Reikningur!$D$8,'Frjálsa leiðin'!$C$2:$BN$2))</f>
        <v>2721</v>
      </c>
      <c r="S15" s="12">
        <f t="shared" ca="1" si="4"/>
        <v>0</v>
      </c>
      <c r="T15" s="11"/>
      <c r="V15">
        <f ca="1"/>
        <v>0</v>
      </c>
      <c r="W15" s="25">
        <f t="shared" si="5"/>
        <v>0</v>
      </c>
      <c r="X15">
        <f>INDEX('Erfanlega leiðin'!$C$3:$BN$56,MATCH(Reikningur!L15,'Erfanlega leiðin'!$B$3:$B$56),MATCH(Reikningur!$D$8,'Erfanlega leiðin'!$C$2:$BN$2))</f>
        <v>6290</v>
      </c>
      <c r="Y15" s="12">
        <f t="shared" ca="1" si="2"/>
        <v>0</v>
      </c>
      <c r="Z15" s="11"/>
      <c r="AC15" s="4">
        <v>60</v>
      </c>
      <c r="AD15" cm="1">
        <f t="array" ref="AD15:AD34">TRANSPOSE(INDEX('Frjálsa lækkun hækkun'!C3:V66,MATCH(IF(AD14&lt;'Frjálsa lækkun hækkun'!B3,'Frjálsa lækkun hækkun'!B3,AD14),'Frjálsa lækkun hækkun'!B3:B66,1),0))</f>
        <v>2.5000000000000001E-3</v>
      </c>
      <c r="AE15" s="5">
        <f>IF($D$37&lt;=AC15,-AD15,0)</f>
        <v>-2.5000000000000001E-3</v>
      </c>
      <c r="AI15" s="4" t="s">
        <v>27</v>
      </c>
      <c r="AJ15" t="s">
        <v>42</v>
      </c>
      <c r="AK15" t="s">
        <v>42</v>
      </c>
      <c r="AL15" t="s">
        <v>42</v>
      </c>
      <c r="AM15" s="5" t="s">
        <v>43</v>
      </c>
    </row>
    <row r="16" spans="3:39" ht="14.5" customHeight="1" thickBot="1" x14ac:dyDescent="0.4">
      <c r="C16" s="41" t="s">
        <v>44</v>
      </c>
      <c r="D16" s="92" t="str">
        <f>+IF(D15=AU29,"Erfanlega leiðin","Frjálsa leiðin")</f>
        <v>Frjálsa leiðin</v>
      </c>
      <c r="E16" t="str">
        <f>+IF(D16="Frjálsa leiðin","Frjálsu leiðina","Erfanlegu leiðina")</f>
        <v>Frjálsu leiðina</v>
      </c>
      <c r="K16">
        <v>10</v>
      </c>
      <c r="L16">
        <v>25</v>
      </c>
      <c r="M16">
        <f t="shared" si="0"/>
        <v>1995</v>
      </c>
      <c r="N16">
        <f t="shared" ca="1" si="1"/>
        <v>0</v>
      </c>
      <c r="P16">
        <f ca="1"/>
        <v>0</v>
      </c>
      <c r="Q16" s="25">
        <f t="shared" si="3"/>
        <v>0</v>
      </c>
      <c r="R16">
        <f>INDEX('Frjálsa leiðin'!$C$3:$BN$56,MATCH(Reikningur!L16,'Frjálsa leiðin'!$B$3:$B$56),MATCH(Reikningur!$D$8,'Frjálsa leiðin'!$C$2:$BN$2))</f>
        <v>2607</v>
      </c>
      <c r="S16" s="12">
        <f t="shared" ca="1" si="4"/>
        <v>0</v>
      </c>
      <c r="T16" s="11"/>
      <c r="V16">
        <f ca="1"/>
        <v>0</v>
      </c>
      <c r="W16" s="25">
        <f t="shared" si="5"/>
        <v>0</v>
      </c>
      <c r="X16">
        <f>INDEX('Erfanlega leiðin'!$C$3:$BN$56,MATCH(Reikningur!L16,'Erfanlega leiðin'!$B$3:$B$56),MATCH(Reikningur!$D$8,'Erfanlega leiðin'!$C$2:$BN$2))</f>
        <v>5938</v>
      </c>
      <c r="Y16" s="12">
        <f t="shared" ca="1" si="2"/>
        <v>0</v>
      </c>
      <c r="Z16" s="11"/>
      <c r="AC16" s="4">
        <v>61</v>
      </c>
      <c r="AD16">
        <v>2.7000000000000001E-3</v>
      </c>
      <c r="AE16" s="5">
        <f t="shared" ref="AE16:AE24" si="6">IF($D$37&lt;=AC16,-AD16,0)</f>
        <v>-2.7000000000000001E-3</v>
      </c>
      <c r="AI16" s="4" t="s">
        <v>32</v>
      </c>
      <c r="AJ16" s="25">
        <f ca="1">AJ11*(1+m_r)^(12*(D10-D9))</f>
        <v>0</v>
      </c>
      <c r="AK16" s="25">
        <f ca="1">AK11*(1+m_r)^(12*(D10-MIN(D10,70)))</f>
        <v>0</v>
      </c>
      <c r="AL16" s="25">
        <f>AL11*(1+m_r)^(12*(D10-D10))</f>
        <v>0</v>
      </c>
      <c r="AM16" s="35">
        <f ca="1">AJ16+AK16+AL16</f>
        <v>0</v>
      </c>
    </row>
    <row r="17" spans="3:47" ht="15" customHeight="1" thickBot="1" x14ac:dyDescent="0.4">
      <c r="C17" s="130" t="s">
        <v>45</v>
      </c>
      <c r="D17" s="131"/>
      <c r="K17">
        <v>11</v>
      </c>
      <c r="L17">
        <v>26</v>
      </c>
      <c r="M17">
        <f t="shared" si="0"/>
        <v>1996</v>
      </c>
      <c r="N17">
        <f t="shared" ca="1" si="1"/>
        <v>0</v>
      </c>
      <c r="P17">
        <f ca="1"/>
        <v>0</v>
      </c>
      <c r="Q17" s="25">
        <f t="shared" si="3"/>
        <v>0</v>
      </c>
      <c r="R17">
        <f>INDEX('Frjálsa leiðin'!$C$3:$BN$56,MATCH(Reikningur!L17,'Frjálsa leiðin'!$B$3:$B$56),MATCH(Reikningur!$D$8,'Frjálsa leiðin'!$C$2:$BN$2))</f>
        <v>2500</v>
      </c>
      <c r="S17" s="12">
        <f t="shared" ca="1" si="4"/>
        <v>0</v>
      </c>
      <c r="T17" s="11"/>
      <c r="V17">
        <f ca="1"/>
        <v>0</v>
      </c>
      <c r="W17" s="25">
        <f t="shared" si="5"/>
        <v>0</v>
      </c>
      <c r="X17">
        <f>INDEX('Erfanlega leiðin'!$C$3:$BN$56,MATCH(Reikningur!L17,'Erfanlega leiðin'!$B$3:$B$56),MATCH(Reikningur!$D$8,'Erfanlega leiðin'!$C$2:$BN$2))</f>
        <v>5619</v>
      </c>
      <c r="Y17" s="12">
        <f t="shared" ca="1" si="2"/>
        <v>0</v>
      </c>
      <c r="Z17" s="11"/>
      <c r="AC17" s="4">
        <v>62</v>
      </c>
      <c r="AD17">
        <v>2.8999999999999998E-3</v>
      </c>
      <c r="AE17" s="5">
        <f t="shared" si="6"/>
        <v>-2.8999999999999998E-3</v>
      </c>
      <c r="AI17" s="4" t="s">
        <v>34</v>
      </c>
      <c r="AJ17" s="25">
        <f ca="1">AJ12*(1+m_r)^(12*(D10-D9))</f>
        <v>0</v>
      </c>
      <c r="AK17" s="25">
        <f ca="1">AK12*(1+m_r)^(12*(D10-MIN(D10,70)))</f>
        <v>0</v>
      </c>
      <c r="AL17" s="25">
        <f>AL12*(1+m_r)^(12*(D10-D10))</f>
        <v>0</v>
      </c>
      <c r="AM17" s="34">
        <f ca="1">AJ17+AK17+AL17</f>
        <v>0</v>
      </c>
    </row>
    <row r="18" spans="3:47" ht="15" thickBot="1" x14ac:dyDescent="0.4">
      <c r="C18" s="132"/>
      <c r="D18" s="133"/>
      <c r="K18">
        <v>12</v>
      </c>
      <c r="L18">
        <v>27</v>
      </c>
      <c r="M18">
        <f t="shared" si="0"/>
        <v>1997</v>
      </c>
      <c r="N18">
        <f t="shared" ca="1" si="1"/>
        <v>0</v>
      </c>
      <c r="P18">
        <f ca="1"/>
        <v>0</v>
      </c>
      <c r="Q18" s="25">
        <f t="shared" si="3"/>
        <v>0</v>
      </c>
      <c r="R18">
        <f>INDEX('Frjálsa leiðin'!$C$3:$BN$56,MATCH(Reikningur!L18,'Frjálsa leiðin'!$B$3:$B$56),MATCH(Reikningur!$D$8,'Frjálsa leiðin'!$C$2:$BN$2))</f>
        <v>2399</v>
      </c>
      <c r="S18" s="12">
        <f t="shared" ca="1" si="4"/>
        <v>0</v>
      </c>
      <c r="T18" s="11"/>
      <c r="V18">
        <f ca="1"/>
        <v>0</v>
      </c>
      <c r="W18" s="25">
        <f t="shared" si="5"/>
        <v>0</v>
      </c>
      <c r="X18">
        <f>INDEX('Erfanlega leiðin'!$C$3:$BN$56,MATCH(Reikningur!L18,'Erfanlega leiðin'!$B$3:$B$56),MATCH(Reikningur!$D$8,'Erfanlega leiðin'!$C$2:$BN$2))</f>
        <v>5332</v>
      </c>
      <c r="Y18" s="12">
        <f t="shared" ca="1" si="2"/>
        <v>0</v>
      </c>
      <c r="Z18" s="11"/>
      <c r="AC18" s="4">
        <v>63</v>
      </c>
      <c r="AD18">
        <v>3.2000000000000002E-3</v>
      </c>
      <c r="AE18" s="5">
        <f t="shared" si="6"/>
        <v>-3.2000000000000002E-3</v>
      </c>
      <c r="AI18" s="4"/>
      <c r="AM18" s="5"/>
    </row>
    <row r="19" spans="3:47" x14ac:dyDescent="0.35">
      <c r="C19" s="44" t="str">
        <f>"Hlutfall skylduiðgjalda sem greiðast í Frjálsu leiðina (" &amp; E19*100 &amp; "%)"</f>
        <v>Hlutfall skylduiðgjalda sem greiðast í Frjálsu leiðina (15,5%)</v>
      </c>
      <c r="D19" s="45"/>
      <c r="E19" s="82">
        <f>IF(D13=AS26, 15.5%, IF(D13=AS27, 10%, 10%))</f>
        <v>0.155</v>
      </c>
      <c r="F19" t="s">
        <v>46</v>
      </c>
      <c r="K19">
        <v>13</v>
      </c>
      <c r="L19">
        <v>28</v>
      </c>
      <c r="M19">
        <f t="shared" si="0"/>
        <v>1998</v>
      </c>
      <c r="N19">
        <f t="shared" ca="1" si="1"/>
        <v>0</v>
      </c>
      <c r="P19">
        <f ca="1"/>
        <v>0</v>
      </c>
      <c r="Q19" s="25">
        <f t="shared" si="3"/>
        <v>0</v>
      </c>
      <c r="R19">
        <f>INDEX('Frjálsa leiðin'!$C$3:$BN$56,MATCH(Reikningur!L19,'Frjálsa leiðin'!$B$3:$B$56),MATCH(Reikningur!$D$8,'Frjálsa leiðin'!$C$2:$BN$2))</f>
        <v>2306</v>
      </c>
      <c r="S19" s="12">
        <f t="shared" ca="1" si="4"/>
        <v>0</v>
      </c>
      <c r="T19" s="11"/>
      <c r="V19">
        <f ca="1"/>
        <v>0</v>
      </c>
      <c r="W19" s="25">
        <f t="shared" si="5"/>
        <v>0</v>
      </c>
      <c r="X19">
        <f>INDEX('Erfanlega leiðin'!$C$3:$BN$56,MATCH(Reikningur!L19,'Erfanlega leiðin'!$B$3:$B$56),MATCH(Reikningur!$D$8,'Erfanlega leiðin'!$C$2:$BN$2))</f>
        <v>5072</v>
      </c>
      <c r="Y19" s="12">
        <f t="shared" ca="1" si="2"/>
        <v>0</v>
      </c>
      <c r="Z19" s="11"/>
      <c r="AC19" s="4">
        <v>64</v>
      </c>
      <c r="AD19">
        <v>3.5000000000000001E-3</v>
      </c>
      <c r="AE19" s="5">
        <f t="shared" si="6"/>
        <v>-3.5000000000000001E-3</v>
      </c>
      <c r="AI19" s="4" t="s">
        <v>47</v>
      </c>
      <c r="AM19" s="5"/>
    </row>
    <row r="20" spans="3:47" ht="15" thickBot="1" x14ac:dyDescent="0.4">
      <c r="C20" s="43" t="str">
        <f>"Samtrygging (" &amp; E20*100 &amp; "%)"</f>
        <v>Samtrygging (8,75%)</v>
      </c>
      <c r="D20" s="46">
        <f>D11*E20</f>
        <v>0</v>
      </c>
      <c r="E20" s="1">
        <v>8.7499999999999994E-2</v>
      </c>
      <c r="K20">
        <v>14</v>
      </c>
      <c r="L20">
        <v>29</v>
      </c>
      <c r="M20">
        <f t="shared" si="0"/>
        <v>1999</v>
      </c>
      <c r="N20">
        <f t="shared" ca="1" si="1"/>
        <v>0</v>
      </c>
      <c r="P20">
        <f ca="1"/>
        <v>0</v>
      </c>
      <c r="Q20" s="25">
        <f t="shared" si="3"/>
        <v>0</v>
      </c>
      <c r="R20">
        <f>INDEX('Frjálsa leiðin'!$C$3:$BN$56,MATCH(Reikningur!L20,'Frjálsa leiðin'!$B$3:$B$56),MATCH(Reikningur!$D$8,'Frjálsa leiðin'!$C$2:$BN$2))</f>
        <v>2218</v>
      </c>
      <c r="S20" s="12">
        <f t="shared" ca="1" si="4"/>
        <v>0</v>
      </c>
      <c r="T20" s="11"/>
      <c r="V20">
        <f ca="1"/>
        <v>0</v>
      </c>
      <c r="W20" s="25">
        <f t="shared" si="5"/>
        <v>0</v>
      </c>
      <c r="X20">
        <f>INDEX('Erfanlega leiðin'!$C$3:$BN$56,MATCH(Reikningur!L20,'Erfanlega leiðin'!$B$3:$B$56),MATCH(Reikningur!$D$8,'Erfanlega leiðin'!$C$2:$BN$2))</f>
        <v>4837</v>
      </c>
      <c r="Y20" s="12">
        <f t="shared" ca="1" si="2"/>
        <v>0</v>
      </c>
      <c r="Z20" s="11"/>
      <c r="AC20" s="4">
        <v>65</v>
      </c>
      <c r="AD20">
        <v>3.8999999999999998E-3</v>
      </c>
      <c r="AE20" s="5">
        <f t="shared" si="6"/>
        <v>-3.8999999999999998E-3</v>
      </c>
      <c r="AI20" s="4" t="s">
        <v>48</v>
      </c>
      <c r="AJ20" t="s">
        <v>49</v>
      </c>
      <c r="AK20" t="s">
        <v>49</v>
      </c>
      <c r="AL20" t="s">
        <v>49</v>
      </c>
      <c r="AM20" s="5" t="s">
        <v>43</v>
      </c>
    </row>
    <row r="21" spans="3:47" ht="15" thickBot="1" x14ac:dyDescent="0.4">
      <c r="C21" s="43" t="str">
        <f>"Frjáls séreign (" &amp; E21*100 &amp; "%)"</f>
        <v>Frjáls séreign (6,75%)</v>
      </c>
      <c r="D21" s="47">
        <f>D11*E21</f>
        <v>0</v>
      </c>
      <c r="E21" s="1">
        <f>IF(D13=AS26, 6.75%, IF(D13=AS27, 1.25%, 1.25%))</f>
        <v>6.7500000000000004E-2</v>
      </c>
      <c r="K21">
        <v>15</v>
      </c>
      <c r="L21">
        <v>30</v>
      </c>
      <c r="M21">
        <f t="shared" si="0"/>
        <v>2000</v>
      </c>
      <c r="N21">
        <f t="shared" ca="1" si="1"/>
        <v>0</v>
      </c>
      <c r="P21">
        <f ca="1"/>
        <v>0</v>
      </c>
      <c r="Q21" s="25">
        <f t="shared" si="3"/>
        <v>0</v>
      </c>
      <c r="R21">
        <f>INDEX('Frjálsa leiðin'!$C$3:$BN$56,MATCH(Reikningur!L21,'Frjálsa leiðin'!$B$3:$B$56),MATCH(Reikningur!$D$8,'Frjálsa leiðin'!$C$2:$BN$2))</f>
        <v>2135</v>
      </c>
      <c r="S21" s="12">
        <f ca="1">N21*Q21*R21/10000</f>
        <v>0</v>
      </c>
      <c r="T21" s="11"/>
      <c r="V21">
        <f ca="1"/>
        <v>0</v>
      </c>
      <c r="W21" s="25">
        <f t="shared" si="5"/>
        <v>0</v>
      </c>
      <c r="X21">
        <f>INDEX('Erfanlega leiðin'!$C$3:$BN$56,MATCH(Reikningur!L21,'Erfanlega leiðin'!$B$3:$B$56),MATCH(Reikningur!$D$8,'Erfanlega leiðin'!$C$2:$BN$2))</f>
        <v>4625</v>
      </c>
      <c r="Y21" s="12">
        <f t="shared" ca="1" si="2"/>
        <v>0</v>
      </c>
      <c r="Z21" s="11"/>
      <c r="AC21" s="4">
        <v>66</v>
      </c>
      <c r="AD21">
        <v>4.3E-3</v>
      </c>
      <c r="AE21" s="5">
        <f t="shared" si="6"/>
        <v>-4.3E-3</v>
      </c>
      <c r="AI21" s="4" t="s">
        <v>32</v>
      </c>
      <c r="AJ21" s="25">
        <f ca="1">AJ11*(1+m_r)^(12*(D44-D9))</f>
        <v>0</v>
      </c>
      <c r="AK21" s="25">
        <f ca="1">AK11*(1+m_r)^(12*(D44-MIN(D10,70)))</f>
        <v>0</v>
      </c>
      <c r="AL21" s="25">
        <f>AL11*(1+m_r)^(12*(D44-D10))</f>
        <v>0</v>
      </c>
      <c r="AM21" s="35">
        <f ca="1">AJ21+AK21+AL21</f>
        <v>0</v>
      </c>
    </row>
    <row r="22" spans="3:47" ht="15" thickBot="1" x14ac:dyDescent="0.4">
      <c r="C22" s="44" t="str">
        <f>"Hlutfall skylduiðgjalda sem greiðast í Erfanlegu leiðina (" &amp; E19*100 &amp; "%)"</f>
        <v>Hlutfall skylduiðgjalda sem greiðast í Erfanlegu leiðina (15,5%)</v>
      </c>
      <c r="D22" s="45"/>
      <c r="K22">
        <v>16</v>
      </c>
      <c r="L22">
        <v>31</v>
      </c>
      <c r="M22">
        <f t="shared" si="0"/>
        <v>2001</v>
      </c>
      <c r="N22">
        <f t="shared" ca="1" si="1"/>
        <v>0</v>
      </c>
      <c r="P22">
        <f ca="1"/>
        <v>0</v>
      </c>
      <c r="Q22" s="25">
        <f t="shared" si="3"/>
        <v>0</v>
      </c>
      <c r="R22">
        <f>INDEX('Frjálsa leiðin'!$C$3:$BN$56,MATCH(Reikningur!L22,'Frjálsa leiðin'!$B$3:$B$56),MATCH(Reikningur!$D$8,'Frjálsa leiðin'!$C$2:$BN$2))</f>
        <v>2058</v>
      </c>
      <c r="S22" s="12">
        <f t="shared" ca="1" si="4"/>
        <v>0</v>
      </c>
      <c r="T22" s="11"/>
      <c r="V22">
        <f ca="1"/>
        <v>0</v>
      </c>
      <c r="W22" s="25">
        <f t="shared" si="5"/>
        <v>0</v>
      </c>
      <c r="X22">
        <f>INDEX('Erfanlega leiðin'!$C$3:$BN$56,MATCH(Reikningur!L22,'Erfanlega leiðin'!$B$3:$B$56),MATCH(Reikningur!$D$8,'Erfanlega leiðin'!$C$2:$BN$2))</f>
        <v>4435</v>
      </c>
      <c r="Y22" s="12">
        <f t="shared" ca="1" si="2"/>
        <v>0</v>
      </c>
      <c r="Z22" s="11"/>
      <c r="AC22" s="4">
        <v>67</v>
      </c>
      <c r="AD22">
        <v>4.7999999999999996E-3</v>
      </c>
      <c r="AE22" s="5">
        <f t="shared" si="6"/>
        <v>-4.7999999999999996E-3</v>
      </c>
      <c r="AI22" s="6" t="s">
        <v>34</v>
      </c>
      <c r="AJ22" s="23">
        <f ca="1">AJ12*(1+m_r)^(12*(D44-D9))</f>
        <v>0</v>
      </c>
      <c r="AK22" s="23">
        <f ca="1">AK12*(1+m_r)^(12*(D44-MIN(D10,70)))</f>
        <v>0</v>
      </c>
      <c r="AL22" s="23">
        <f>AL12*(1+m_r)^(12*(D44-D10))</f>
        <v>0</v>
      </c>
      <c r="AM22" s="34">
        <f ca="1">AJ22+AK22+AL22</f>
        <v>0</v>
      </c>
    </row>
    <row r="23" spans="3:47" x14ac:dyDescent="0.35">
      <c r="C23" s="43" t="str">
        <f>"Samtrygging (" &amp; ROUND(E23,4)*100 &amp;"%)"</f>
        <v>Samtrygging (3,7%)</v>
      </c>
      <c r="D23" s="47">
        <f>E23*D11</f>
        <v>0</v>
      </c>
      <c r="E23" s="75">
        <f>IF(D13=AS26, 3.7%, 10/10.25 * 3.7%)</f>
        <v>3.7000000000000005E-2</v>
      </c>
      <c r="K23">
        <v>17</v>
      </c>
      <c r="L23">
        <v>32</v>
      </c>
      <c r="M23">
        <f t="shared" si="0"/>
        <v>2002</v>
      </c>
      <c r="N23">
        <f t="shared" ca="1" si="1"/>
        <v>0</v>
      </c>
      <c r="P23">
        <f ca="1"/>
        <v>0</v>
      </c>
      <c r="Q23" s="25">
        <f t="shared" si="3"/>
        <v>0</v>
      </c>
      <c r="R23">
        <f>INDEX('Frjálsa leiðin'!$C$3:$BN$56,MATCH(Reikningur!L23,'Frjálsa leiðin'!$B$3:$B$56),MATCH(Reikningur!$D$8,'Frjálsa leiðin'!$C$2:$BN$2))</f>
        <v>1987</v>
      </c>
      <c r="S23" s="12">
        <f t="shared" ca="1" si="4"/>
        <v>0</v>
      </c>
      <c r="T23" s="11"/>
      <c r="V23">
        <f ca="1"/>
        <v>0</v>
      </c>
      <c r="W23" s="25">
        <f t="shared" si="5"/>
        <v>0</v>
      </c>
      <c r="X23">
        <f>INDEX('Erfanlega leiðin'!$C$3:$BN$56,MATCH(Reikningur!L23,'Erfanlega leiðin'!$B$3:$B$56),MATCH(Reikningur!$D$8,'Erfanlega leiðin'!$C$2:$BN$2))</f>
        <v>4268</v>
      </c>
      <c r="Y23" s="12">
        <f t="shared" ca="1" si="2"/>
        <v>0</v>
      </c>
      <c r="Z23" s="11"/>
      <c r="AC23" s="4">
        <v>68</v>
      </c>
      <c r="AD23">
        <v>5.4000000000000003E-3</v>
      </c>
      <c r="AE23" s="5">
        <f t="shared" si="6"/>
        <v>-5.4000000000000003E-3</v>
      </c>
    </row>
    <row r="24" spans="3:47" x14ac:dyDescent="0.35">
      <c r="C24" s="43" t="str">
        <f>"Bundin séreign (" &amp; ROUND(E24,4)*100 &amp;"%)"</f>
        <v>Bundin séreign (6,55%)</v>
      </c>
      <c r="D24" s="47">
        <f>E24*D11</f>
        <v>0</v>
      </c>
      <c r="E24" s="75">
        <f>IF(D13=AS26, 6.55%, 10/10.25 * 6.55%)</f>
        <v>6.5500000000000003E-2</v>
      </c>
      <c r="K24">
        <v>18</v>
      </c>
      <c r="L24">
        <v>33</v>
      </c>
      <c r="M24">
        <f t="shared" si="0"/>
        <v>2003</v>
      </c>
      <c r="N24">
        <f t="shared" ca="1" si="1"/>
        <v>0</v>
      </c>
      <c r="P24">
        <f ca="1"/>
        <v>0</v>
      </c>
      <c r="Q24" s="25">
        <f t="shared" si="3"/>
        <v>0</v>
      </c>
      <c r="R24">
        <f>INDEX('Frjálsa leiðin'!$C$3:$BN$56,MATCH(Reikningur!L24,'Frjálsa leiðin'!$B$3:$B$56),MATCH(Reikningur!$D$8,'Frjálsa leiðin'!$C$2:$BN$2))</f>
        <v>1920</v>
      </c>
      <c r="S24" s="12">
        <f t="shared" ca="1" si="4"/>
        <v>0</v>
      </c>
      <c r="T24" s="11"/>
      <c r="V24">
        <f ca="1"/>
        <v>0</v>
      </c>
      <c r="W24" s="25">
        <f t="shared" si="5"/>
        <v>0</v>
      </c>
      <c r="X24">
        <f>INDEX('Erfanlega leiðin'!$C$3:$BN$56,MATCH(Reikningur!L24,'Erfanlega leiðin'!$B$3:$B$56),MATCH(Reikningur!$D$8,'Erfanlega leiðin'!$C$2:$BN$2))</f>
        <v>4119</v>
      </c>
      <c r="Y24" s="12">
        <f t="shared" ca="1" si="2"/>
        <v>0</v>
      </c>
      <c r="Z24" s="11"/>
      <c r="AC24" s="4">
        <v>69</v>
      </c>
      <c r="AD24">
        <v>6.1000000000000004E-3</v>
      </c>
      <c r="AE24" s="5">
        <f t="shared" si="6"/>
        <v>-6.1000000000000004E-3</v>
      </c>
    </row>
    <row r="25" spans="3:47" ht="15" thickBot="1" x14ac:dyDescent="0.4">
      <c r="C25" s="43" t="str">
        <f>"Frjáls séreign (" &amp; E25*100 &amp; "%)"</f>
        <v>Frjáls séreign (5,25%)</v>
      </c>
      <c r="D25" s="47">
        <f>D11*E25</f>
        <v>0</v>
      </c>
      <c r="E25" s="75">
        <f>IF(D13=AS26, 5.25%, IF(D13=AS27, 0%, 0%))</f>
        <v>5.2499999999999998E-2</v>
      </c>
      <c r="K25">
        <v>19</v>
      </c>
      <c r="L25">
        <v>34</v>
      </c>
      <c r="M25">
        <f t="shared" si="0"/>
        <v>2004</v>
      </c>
      <c r="N25">
        <f t="shared" ca="1" si="1"/>
        <v>0</v>
      </c>
      <c r="P25">
        <f ca="1"/>
        <v>0</v>
      </c>
      <c r="Q25" s="25">
        <f t="shared" si="3"/>
        <v>0</v>
      </c>
      <c r="R25">
        <f>INDEX('Frjálsa leiðin'!$C$3:$BN$56,MATCH(Reikningur!L25,'Frjálsa leiðin'!$B$3:$B$56),MATCH(Reikningur!$D$8,'Frjálsa leiðin'!$C$2:$BN$2))</f>
        <v>1857</v>
      </c>
      <c r="S25" s="12">
        <f t="shared" ca="1" si="4"/>
        <v>0</v>
      </c>
      <c r="T25" s="11"/>
      <c r="V25">
        <f ca="1"/>
        <v>0</v>
      </c>
      <c r="W25" s="25">
        <f t="shared" si="5"/>
        <v>0</v>
      </c>
      <c r="X25">
        <f>INDEX('Erfanlega leiðin'!$C$3:$BN$56,MATCH(Reikningur!L25,'Erfanlega leiðin'!$B$3:$B$56),MATCH(Reikningur!$D$8,'Erfanlega leiðin'!$C$2:$BN$2))</f>
        <v>3987</v>
      </c>
      <c r="Y25" s="12">
        <f t="shared" ca="1" si="2"/>
        <v>0</v>
      </c>
      <c r="Z25" s="11"/>
      <c r="AC25" s="4">
        <v>70</v>
      </c>
      <c r="AD25">
        <v>6.4999999999999997E-3</v>
      </c>
      <c r="AE25" s="5">
        <f>IF($D$37&gt;AC25,AD25,0)</f>
        <v>0</v>
      </c>
      <c r="AP25" s="52" t="s">
        <v>50</v>
      </c>
      <c r="AQ25" s="52"/>
    </row>
    <row r="26" spans="3:47" ht="14.5" customHeight="1" thickBot="1" x14ac:dyDescent="0.4">
      <c r="C26" s="44" t="str">
        <f>"Hlutfall iðgjalda sem greiðist í frjálsa séreign viðbótar (" &amp; (E27+E28)*100 &amp; "%)"</f>
        <v>Hlutfall iðgjalda sem greiðist í frjálsa séreign viðbótar (2%)</v>
      </c>
      <c r="D26" s="48"/>
      <c r="K26">
        <v>20</v>
      </c>
      <c r="L26">
        <v>35</v>
      </c>
      <c r="M26">
        <f t="shared" si="0"/>
        <v>2005</v>
      </c>
      <c r="N26">
        <f t="shared" ca="1" si="1"/>
        <v>0</v>
      </c>
      <c r="P26">
        <f ca="1"/>
        <v>0</v>
      </c>
      <c r="Q26" s="25">
        <f t="shared" si="3"/>
        <v>0</v>
      </c>
      <c r="R26">
        <f>INDEX('Frjálsa leiðin'!$C$3:$BN$56,MATCH(Reikningur!L26,'Frjálsa leiðin'!$B$3:$B$56),MATCH(Reikningur!$D$8,'Frjálsa leiðin'!$C$2:$BN$2))</f>
        <v>1799</v>
      </c>
      <c r="S26" s="12">
        <f t="shared" ca="1" si="4"/>
        <v>0</v>
      </c>
      <c r="T26" s="11"/>
      <c r="V26">
        <f ca="1"/>
        <v>0</v>
      </c>
      <c r="W26" s="25">
        <f t="shared" si="5"/>
        <v>0</v>
      </c>
      <c r="X26">
        <f>INDEX('Erfanlega leiðin'!$C$3:$BN$56,MATCH(Reikningur!L26,'Erfanlega leiðin'!$B$3:$B$56),MATCH(Reikningur!$D$8,'Erfanlega leiðin'!$C$2:$BN$2))</f>
        <v>3871</v>
      </c>
      <c r="Y26" s="12">
        <f t="shared" ca="1" si="2"/>
        <v>0</v>
      </c>
      <c r="Z26" s="11"/>
      <c r="AC26" s="4">
        <v>71</v>
      </c>
      <c r="AD26">
        <v>7.3000000000000001E-3</v>
      </c>
      <c r="AE26" s="5">
        <f t="shared" ref="AE26:AE33" si="7">IF($D$37&gt;AC26,AD26,0)</f>
        <v>0</v>
      </c>
      <c r="AI26" s="16" t="s">
        <v>51</v>
      </c>
      <c r="AJ26" s="21"/>
      <c r="AK26" s="21"/>
      <c r="AL26" s="17"/>
      <c r="AQ26" s="115">
        <v>0</v>
      </c>
      <c r="AR26" s="38">
        <f t="shared" ref="AR26:AR45" ca="1" si="8">IF(AC15&lt;$D$9,$D$9,AC15)</f>
        <v>60</v>
      </c>
      <c r="AS26" s="38" t="s">
        <v>36</v>
      </c>
      <c r="AT26" s="84">
        <v>0.01</v>
      </c>
      <c r="AU26" t="s">
        <v>52</v>
      </c>
    </row>
    <row r="27" spans="3:47" ht="14.5" customHeight="1" x14ac:dyDescent="0.35">
      <c r="C27" s="43" t="str">
        <f>"Viðbótarlífeyrissparnaður (" &amp; E27*100 &amp; "%)"</f>
        <v>Viðbótarlífeyrissparnaður (2%)</v>
      </c>
      <c r="D27" s="48">
        <f>E27*D11</f>
        <v>0</v>
      </c>
      <c r="E27" s="37">
        <f>+D12+2%</f>
        <v>0.02</v>
      </c>
      <c r="K27">
        <v>21</v>
      </c>
      <c r="L27">
        <v>36</v>
      </c>
      <c r="M27">
        <f t="shared" si="0"/>
        <v>2006</v>
      </c>
      <c r="N27">
        <f t="shared" ca="1" si="1"/>
        <v>0</v>
      </c>
      <c r="P27">
        <f ca="1"/>
        <v>0</v>
      </c>
      <c r="Q27" s="25">
        <f t="shared" si="3"/>
        <v>0</v>
      </c>
      <c r="R27">
        <f>INDEX('Frjálsa leiðin'!$C$3:$BN$56,MATCH(Reikningur!L27,'Frjálsa leiðin'!$B$3:$B$56),MATCH(Reikningur!$D$8,'Frjálsa leiðin'!$C$2:$BN$2))</f>
        <v>1744</v>
      </c>
      <c r="S27" s="12">
        <f t="shared" ca="1" si="4"/>
        <v>0</v>
      </c>
      <c r="T27" s="11"/>
      <c r="V27">
        <f ca="1"/>
        <v>0</v>
      </c>
      <c r="W27" s="25">
        <f t="shared" si="5"/>
        <v>0</v>
      </c>
      <c r="X27">
        <f>INDEX('Erfanlega leiðin'!$C$3:$BN$56,MATCH(Reikningur!L27,'Erfanlega leiðin'!$B$3:$B$56),MATCH(Reikningur!$D$8,'Erfanlega leiðin'!$C$2:$BN$2))</f>
        <v>3770</v>
      </c>
      <c r="Y27" s="12">
        <f t="shared" ca="1" si="2"/>
        <v>0</v>
      </c>
      <c r="Z27" s="11"/>
      <c r="AC27" s="4">
        <v>72</v>
      </c>
      <c r="AD27">
        <v>8.2000000000000007E-3</v>
      </c>
      <c r="AE27" s="5">
        <f t="shared" si="7"/>
        <v>0</v>
      </c>
      <c r="AI27" s="4"/>
      <c r="AL27" s="5"/>
      <c r="AO27">
        <f>+IF(AC15&lt;=$D$10,$D$10,AC15)</f>
        <v>60</v>
      </c>
      <c r="AP27" s="38">
        <f>IF($D$16="Frjálsa leiðin",IF(AC15&lt;=$D$10,$D$10,AC15),"")</f>
        <v>60</v>
      </c>
      <c r="AQ27" s="37">
        <v>0.02</v>
      </c>
      <c r="AR27" s="40">
        <f t="shared" ca="1" si="8"/>
        <v>61</v>
      </c>
      <c r="AS27" s="40" t="s">
        <v>53</v>
      </c>
      <c r="AT27" s="84">
        <v>1.4999999999999999E-2</v>
      </c>
      <c r="AU27" t="s">
        <v>4</v>
      </c>
    </row>
    <row r="28" spans="3:47" ht="15" customHeight="1" thickBot="1" x14ac:dyDescent="0.4">
      <c r="C28" s="86" t="str">
        <f>"Mótframlag í séreign vegna SSF (" &amp; E28*100 &amp; "%)"</f>
        <v>Mótframlag í séreign vegna SSF (0%)</v>
      </c>
      <c r="D28" s="87">
        <f>E28*D11</f>
        <v>0</v>
      </c>
      <c r="E28" s="82">
        <f>IF(D13=AS26, 0%, IF(D13=AS27, 5.5%, 7%))</f>
        <v>0</v>
      </c>
      <c r="K28">
        <v>22</v>
      </c>
      <c r="L28">
        <v>37</v>
      </c>
      <c r="M28">
        <f t="shared" si="0"/>
        <v>2007</v>
      </c>
      <c r="N28">
        <f t="shared" ca="1" si="1"/>
        <v>0</v>
      </c>
      <c r="P28">
        <f ca="1"/>
        <v>0</v>
      </c>
      <c r="Q28" s="25">
        <f t="shared" si="3"/>
        <v>0</v>
      </c>
      <c r="R28">
        <f>INDEX('Frjálsa leiðin'!$C$3:$BN$56,MATCH(Reikningur!L28,'Frjálsa leiðin'!$B$3:$B$56),MATCH(Reikningur!$D$8,'Frjálsa leiðin'!$C$2:$BN$2))</f>
        <v>1693</v>
      </c>
      <c r="S28" s="12">
        <f t="shared" ca="1" si="4"/>
        <v>0</v>
      </c>
      <c r="T28" s="11"/>
      <c r="V28">
        <f ca="1"/>
        <v>0</v>
      </c>
      <c r="W28" s="25">
        <f t="shared" si="5"/>
        <v>0</v>
      </c>
      <c r="X28">
        <f>INDEX('Erfanlega leiðin'!$C$3:$BN$56,MATCH(Reikningur!L28,'Erfanlega leiðin'!$B$3:$B$56),MATCH(Reikningur!$D$8,'Erfanlega leiðin'!$C$2:$BN$2))</f>
        <v>3684</v>
      </c>
      <c r="Y28" s="12">
        <f t="shared" ca="1" si="2"/>
        <v>0</v>
      </c>
      <c r="Z28" s="11"/>
      <c r="AC28" s="4">
        <v>73</v>
      </c>
      <c r="AD28">
        <v>9.1999999999999998E-3</v>
      </c>
      <c r="AE28" s="5">
        <f t="shared" si="7"/>
        <v>0</v>
      </c>
      <c r="AI28" s="4" t="s">
        <v>27</v>
      </c>
      <c r="AJ28" t="s">
        <v>28</v>
      </c>
      <c r="AK28" t="s">
        <v>29</v>
      </c>
      <c r="AL28" s="5"/>
      <c r="AM28" s="75"/>
      <c r="AO28">
        <f t="shared" ref="AO28:AO47" si="9">+IF(AC16&lt;=$D$10,$D$10,AC16)</f>
        <v>61</v>
      </c>
      <c r="AP28" s="40">
        <f t="shared" ref="AP28:AP47" si="10">IF($D$16="Frjálsa leiðin",IF(AC16&lt;=$D$10,$D$10,AC16),"")</f>
        <v>61</v>
      </c>
      <c r="AQ28" s="116">
        <v>0.04</v>
      </c>
      <c r="AR28" s="40">
        <f t="shared" ca="1" si="8"/>
        <v>62</v>
      </c>
      <c r="AS28" s="39" t="s">
        <v>54</v>
      </c>
      <c r="AT28" s="84">
        <v>0.02</v>
      </c>
      <c r="AU28" t="s">
        <v>55</v>
      </c>
    </row>
    <row r="29" spans="3:47" ht="18.75" customHeight="1" x14ac:dyDescent="0.35">
      <c r="C29" s="130" t="s">
        <v>56</v>
      </c>
      <c r="D29" s="131"/>
      <c r="K29">
        <v>23</v>
      </c>
      <c r="L29">
        <v>38</v>
      </c>
      <c r="M29">
        <f t="shared" si="0"/>
        <v>2008</v>
      </c>
      <c r="N29">
        <f t="shared" ca="1" si="1"/>
        <v>0</v>
      </c>
      <c r="P29">
        <f ca="1"/>
        <v>0</v>
      </c>
      <c r="Q29" s="25">
        <f t="shared" si="3"/>
        <v>0</v>
      </c>
      <c r="R29">
        <f>INDEX('Frjálsa leiðin'!$C$3:$BN$56,MATCH(Reikningur!L29,'Frjálsa leiðin'!$B$3:$B$56),MATCH(Reikningur!$D$8,'Frjálsa leiðin'!$C$2:$BN$2))</f>
        <v>1645</v>
      </c>
      <c r="S29" s="12">
        <f t="shared" ca="1" si="4"/>
        <v>0</v>
      </c>
      <c r="T29" s="11"/>
      <c r="V29">
        <f ca="1"/>
        <v>0</v>
      </c>
      <c r="W29" s="25">
        <f t="shared" si="5"/>
        <v>0</v>
      </c>
      <c r="X29">
        <f>INDEX('Erfanlega leiðin'!$C$3:$BN$56,MATCH(Reikningur!L29,'Erfanlega leiðin'!$B$3:$B$56),MATCH(Reikningur!$D$8,'Erfanlega leiðin'!$C$2:$BN$2))</f>
        <v>3610</v>
      </c>
      <c r="Y29" s="12">
        <f t="shared" ca="1" si="2"/>
        <v>0</v>
      </c>
      <c r="Z29" s="11"/>
      <c r="AC29" s="4">
        <v>74</v>
      </c>
      <c r="AD29">
        <v>1.0500000000000001E-2</v>
      </c>
      <c r="AE29" s="5">
        <f t="shared" si="7"/>
        <v>0</v>
      </c>
      <c r="AI29" s="4" t="s">
        <v>32</v>
      </c>
      <c r="AJ29" s="25">
        <f>IF(OR(D15="Leið 2",D15="Leið 3"),0,D32)</f>
        <v>0</v>
      </c>
      <c r="AK29" s="25">
        <v>0</v>
      </c>
      <c r="AL29" s="5"/>
      <c r="AM29" s="1"/>
      <c r="AO29">
        <f t="shared" si="9"/>
        <v>62</v>
      </c>
      <c r="AP29" s="40">
        <f t="shared" si="10"/>
        <v>62</v>
      </c>
      <c r="AR29" s="40">
        <f t="shared" ca="1" si="8"/>
        <v>63</v>
      </c>
      <c r="AT29" s="84">
        <v>2.5000000000000001E-2</v>
      </c>
      <c r="AU29" t="s">
        <v>57</v>
      </c>
    </row>
    <row r="30" spans="3:47" ht="15" thickBot="1" x14ac:dyDescent="0.4">
      <c r="C30" s="132"/>
      <c r="D30" s="133"/>
      <c r="K30">
        <v>24</v>
      </c>
      <c r="L30">
        <v>39</v>
      </c>
      <c r="M30">
        <f t="shared" si="0"/>
        <v>2009</v>
      </c>
      <c r="N30">
        <f t="shared" ca="1" si="1"/>
        <v>0</v>
      </c>
      <c r="P30">
        <f ca="1"/>
        <v>0</v>
      </c>
      <c r="Q30" s="25">
        <f t="shared" si="3"/>
        <v>0</v>
      </c>
      <c r="R30">
        <f>INDEX('Frjálsa leiðin'!$C$3:$BN$56,MATCH(Reikningur!L30,'Frjálsa leiðin'!$B$3:$B$56),MATCH(Reikningur!$D$8,'Frjálsa leiðin'!$C$2:$BN$2))</f>
        <v>1600</v>
      </c>
      <c r="S30" s="12">
        <f ca="1">N30*Q30*R30/10000</f>
        <v>0</v>
      </c>
      <c r="T30" s="11"/>
      <c r="V30">
        <f ca="1"/>
        <v>0</v>
      </c>
      <c r="W30" s="25">
        <f t="shared" si="5"/>
        <v>0</v>
      </c>
      <c r="X30">
        <f>INDEX('Erfanlega leiðin'!$C$3:$BN$56,MATCH(Reikningur!L30,'Erfanlega leiðin'!$B$3:$B$56),MATCH(Reikningur!$D$8,'Erfanlega leiðin'!$C$2:$BN$2))</f>
        <v>3548</v>
      </c>
      <c r="Y30" s="12">
        <f t="shared" ca="1" si="2"/>
        <v>0</v>
      </c>
      <c r="Z30" s="11"/>
      <c r="AC30" s="4">
        <v>75</v>
      </c>
      <c r="AD30">
        <v>1.2E-2</v>
      </c>
      <c r="AE30" s="5">
        <f t="shared" si="7"/>
        <v>0</v>
      </c>
      <c r="AI30" s="4" t="s">
        <v>34</v>
      </c>
      <c r="AJ30" s="25">
        <f>D32</f>
        <v>0</v>
      </c>
      <c r="AK30" s="25">
        <f ca="1">D24*((1+m_r)^(12*(MIN(D10,70)-D9))-1)/(m_r)</f>
        <v>0</v>
      </c>
      <c r="AL30" s="74"/>
      <c r="AM30" s="1"/>
      <c r="AO30">
        <f t="shared" si="9"/>
        <v>63</v>
      </c>
      <c r="AP30" s="40">
        <f t="shared" si="10"/>
        <v>63</v>
      </c>
      <c r="AR30" s="40">
        <f t="shared" ca="1" si="8"/>
        <v>64</v>
      </c>
      <c r="AT30" s="84">
        <v>0.03</v>
      </c>
    </row>
    <row r="31" spans="3:47" x14ac:dyDescent="0.35">
      <c r="C31" s="42" t="s">
        <v>58</v>
      </c>
      <c r="D31" s="61">
        <f>+Reiknivél!D33</f>
        <v>0</v>
      </c>
      <c r="K31">
        <v>25</v>
      </c>
      <c r="L31">
        <v>40</v>
      </c>
      <c r="M31">
        <f t="shared" si="0"/>
        <v>2010</v>
      </c>
      <c r="N31">
        <f t="shared" ca="1" si="1"/>
        <v>0</v>
      </c>
      <c r="P31">
        <f ca="1"/>
        <v>0</v>
      </c>
      <c r="Q31" s="25">
        <f t="shared" si="3"/>
        <v>0</v>
      </c>
      <c r="R31">
        <f>INDEX('Frjálsa leiðin'!$C$3:$BN$56,MATCH(Reikningur!L31,'Frjálsa leiðin'!$B$3:$B$56),MATCH(Reikningur!$D$8,'Frjálsa leiðin'!$C$2:$BN$2))</f>
        <v>1558</v>
      </c>
      <c r="S31" s="12">
        <f t="shared" ca="1" si="4"/>
        <v>0</v>
      </c>
      <c r="T31" s="11"/>
      <c r="V31">
        <f ca="1"/>
        <v>0</v>
      </c>
      <c r="W31" s="25">
        <f t="shared" si="5"/>
        <v>0</v>
      </c>
      <c r="X31">
        <f>INDEX('Erfanlega leiðin'!$C$3:$BN$56,MATCH(Reikningur!L31,'Erfanlega leiðin'!$B$3:$B$56),MATCH(Reikningur!$D$8,'Erfanlega leiðin'!$C$2:$BN$2))</f>
        <v>3496</v>
      </c>
      <c r="Y31" s="12">
        <f t="shared" ca="1" si="2"/>
        <v>0</v>
      </c>
      <c r="Z31" s="11"/>
      <c r="AC31" s="4">
        <v>76</v>
      </c>
      <c r="AD31">
        <v>1.38E-2</v>
      </c>
      <c r="AE31" s="5">
        <f t="shared" si="7"/>
        <v>0</v>
      </c>
      <c r="AI31" s="4"/>
      <c r="AL31" s="5"/>
      <c r="AO31">
        <f t="shared" si="9"/>
        <v>64</v>
      </c>
      <c r="AP31" s="40">
        <f t="shared" si="10"/>
        <v>64</v>
      </c>
      <c r="AR31" s="40">
        <f t="shared" ca="1" si="8"/>
        <v>65</v>
      </c>
      <c r="AT31" s="84">
        <v>3.5000000000000003E-2</v>
      </c>
    </row>
    <row r="32" spans="3:47" x14ac:dyDescent="0.35">
      <c r="C32" s="43" t="s">
        <v>59</v>
      </c>
      <c r="D32" s="61">
        <f>+Reiknivél!D34</f>
        <v>0</v>
      </c>
      <c r="F32" s="25"/>
      <c r="H32" s="1"/>
      <c r="I32" s="1"/>
      <c r="K32">
        <v>26</v>
      </c>
      <c r="L32">
        <v>41</v>
      </c>
      <c r="M32">
        <f t="shared" si="0"/>
        <v>2011</v>
      </c>
      <c r="N32">
        <f ca="1">IF(AND(L32&gt;=$D$9,L32&lt;$D$10),1,0)</f>
        <v>0</v>
      </c>
      <c r="P32">
        <f ca="1"/>
        <v>0</v>
      </c>
      <c r="Q32" s="25">
        <f t="shared" si="3"/>
        <v>0</v>
      </c>
      <c r="R32">
        <f>INDEX('Frjálsa leiðin'!$C$3:$BN$56,MATCH(Reikningur!L32,'Frjálsa leiðin'!$B$3:$B$56),MATCH(Reikningur!$D$8,'Frjálsa leiðin'!$C$2:$BN$2))</f>
        <v>1518</v>
      </c>
      <c r="S32" s="12">
        <f t="shared" ca="1" si="4"/>
        <v>0</v>
      </c>
      <c r="T32" s="11"/>
      <c r="V32">
        <f ca="1"/>
        <v>0</v>
      </c>
      <c r="W32" s="25">
        <f t="shared" si="5"/>
        <v>0</v>
      </c>
      <c r="X32">
        <f>INDEX('Erfanlega leiðin'!$C$3:$BN$56,MATCH(Reikningur!L32,'Erfanlega leiðin'!$B$3:$B$56),MATCH(Reikningur!$D$8,'Erfanlega leiðin'!$C$2:$BN$2))</f>
        <v>3454</v>
      </c>
      <c r="Y32" s="12">
        <f t="shared" ca="1" si="2"/>
        <v>0</v>
      </c>
      <c r="Z32" s="11"/>
      <c r="AC32" s="4">
        <v>77</v>
      </c>
      <c r="AD32">
        <v>1.6E-2</v>
      </c>
      <c r="AE32" s="5">
        <f t="shared" si="7"/>
        <v>0</v>
      </c>
      <c r="AI32" s="4" t="s">
        <v>48</v>
      </c>
      <c r="AJ32" t="s">
        <v>42</v>
      </c>
      <c r="AK32" t="s">
        <v>42</v>
      </c>
      <c r="AL32" s="5" t="s">
        <v>43</v>
      </c>
      <c r="AO32">
        <f t="shared" si="9"/>
        <v>65</v>
      </c>
      <c r="AP32" s="40">
        <f t="shared" si="10"/>
        <v>65</v>
      </c>
      <c r="AR32" s="40">
        <f t="shared" ca="1" si="8"/>
        <v>66</v>
      </c>
      <c r="AT32" s="84">
        <v>0.04</v>
      </c>
    </row>
    <row r="33" spans="2:46" ht="15" customHeight="1" x14ac:dyDescent="0.35">
      <c r="C33" s="42" t="s">
        <v>60</v>
      </c>
      <c r="D33" s="61">
        <f>+Reiknivél!D35</f>
        <v>0</v>
      </c>
      <c r="K33">
        <v>27</v>
      </c>
      <c r="L33">
        <v>42</v>
      </c>
      <c r="M33">
        <f t="shared" si="0"/>
        <v>2012</v>
      </c>
      <c r="N33">
        <f t="shared" ca="1" si="1"/>
        <v>0</v>
      </c>
      <c r="P33">
        <f ca="1"/>
        <v>0</v>
      </c>
      <c r="Q33" s="25">
        <f t="shared" si="3"/>
        <v>0</v>
      </c>
      <c r="R33">
        <f>INDEX('Frjálsa leiðin'!$C$3:$BN$56,MATCH(Reikningur!L33,'Frjálsa leiðin'!$B$3:$B$56),MATCH(Reikningur!$D$8,'Frjálsa leiðin'!$C$2:$BN$2))</f>
        <v>1480</v>
      </c>
      <c r="S33" s="12">
        <f t="shared" ca="1" si="4"/>
        <v>0</v>
      </c>
      <c r="T33" s="11"/>
      <c r="V33">
        <f ca="1"/>
        <v>0</v>
      </c>
      <c r="W33" s="25">
        <f t="shared" si="5"/>
        <v>0</v>
      </c>
      <c r="X33">
        <f>INDEX('Erfanlega leiðin'!$C$3:$BN$56,MATCH(Reikningur!L33,'Erfanlega leiðin'!$B$3:$B$56),MATCH(Reikningur!$D$8,'Erfanlega leiðin'!$C$2:$BN$2))</f>
        <v>3421</v>
      </c>
      <c r="Y33" s="12">
        <f t="shared" ca="1" si="2"/>
        <v>0</v>
      </c>
      <c r="Z33" s="11"/>
      <c r="AC33" s="4">
        <v>78</v>
      </c>
      <c r="AD33">
        <v>1.8700000000000001E-2</v>
      </c>
      <c r="AE33" s="5">
        <f t="shared" si="7"/>
        <v>0</v>
      </c>
      <c r="AI33" s="4" t="s">
        <v>61</v>
      </c>
      <c r="AJ33" s="25">
        <f ca="1">AJ29*(1+m_r)^(12*(D10-D9))</f>
        <v>0</v>
      </c>
      <c r="AK33" s="25">
        <v>0</v>
      </c>
      <c r="AL33" s="90">
        <f ca="1">AJ33+AK33</f>
        <v>0</v>
      </c>
      <c r="AO33">
        <f t="shared" si="9"/>
        <v>66</v>
      </c>
      <c r="AP33" s="40">
        <f t="shared" si="10"/>
        <v>66</v>
      </c>
      <c r="AR33" s="40">
        <f t="shared" ca="1" si="8"/>
        <v>67</v>
      </c>
      <c r="AT33" s="84">
        <v>4.4999999999999998E-2</v>
      </c>
    </row>
    <row r="34" spans="2:46" ht="15" customHeight="1" thickBot="1" x14ac:dyDescent="0.4">
      <c r="C34" s="42" t="s">
        <v>62</v>
      </c>
      <c r="D34" s="61">
        <f>+Reiknivél!D36</f>
        <v>0</v>
      </c>
      <c r="I34" s="1"/>
      <c r="K34">
        <v>28</v>
      </c>
      <c r="L34">
        <v>43</v>
      </c>
      <c r="M34">
        <f t="shared" si="0"/>
        <v>2013</v>
      </c>
      <c r="N34">
        <f t="shared" ca="1" si="1"/>
        <v>0</v>
      </c>
      <c r="P34">
        <f ca="1"/>
        <v>0</v>
      </c>
      <c r="Q34" s="25">
        <f t="shared" si="3"/>
        <v>0</v>
      </c>
      <c r="R34">
        <f>INDEX('Frjálsa leiðin'!$C$3:$BN$56,MATCH(Reikningur!L34,'Frjálsa leiðin'!$B$3:$B$56),MATCH(Reikningur!$D$8,'Frjálsa leiðin'!$C$2:$BN$2))</f>
        <v>1444</v>
      </c>
      <c r="S34" s="12">
        <f t="shared" ca="1" si="4"/>
        <v>0</v>
      </c>
      <c r="T34" s="11"/>
      <c r="V34">
        <f ca="1"/>
        <v>0</v>
      </c>
      <c r="W34" s="25">
        <f t="shared" si="5"/>
        <v>0</v>
      </c>
      <c r="X34">
        <f>INDEX('Erfanlega leiðin'!$C$3:$BN$56,MATCH(Reikningur!L34,'Erfanlega leiðin'!$B$3:$B$56),MATCH(Reikningur!$D$8,'Erfanlega leiðin'!$C$2:$BN$2))</f>
        <v>3395</v>
      </c>
      <c r="Y34" s="12">
        <f t="shared" ca="1" si="2"/>
        <v>0</v>
      </c>
      <c r="Z34" s="11"/>
      <c r="AC34" s="6">
        <v>79</v>
      </c>
      <c r="AD34" s="24">
        <v>2.1999999999999999E-2</v>
      </c>
      <c r="AE34" s="7">
        <f>IF($D$37&gt;AC34,AD34,0)</f>
        <v>0</v>
      </c>
      <c r="AI34" s="4" t="s">
        <v>63</v>
      </c>
      <c r="AJ34" s="25">
        <f ca="1">AJ30*(1+m_r)^(12*(D10-D9))</f>
        <v>0</v>
      </c>
      <c r="AK34" s="25">
        <f ca="1">AK30*(1+m_r)^(12*(D10-MIN(D10,70)))</f>
        <v>0</v>
      </c>
      <c r="AL34" s="90">
        <f ca="1">AJ34+AK34</f>
        <v>0</v>
      </c>
      <c r="AO34">
        <f t="shared" si="9"/>
        <v>67</v>
      </c>
      <c r="AP34" s="40">
        <f t="shared" si="10"/>
        <v>67</v>
      </c>
      <c r="AR34" s="40">
        <f t="shared" ca="1" si="8"/>
        <v>68</v>
      </c>
      <c r="AT34" s="84">
        <v>0.05</v>
      </c>
    </row>
    <row r="35" spans="2:46" ht="15" customHeight="1" x14ac:dyDescent="0.35">
      <c r="C35" s="130" t="s">
        <v>64</v>
      </c>
      <c r="D35" s="131"/>
      <c r="I35" s="1"/>
      <c r="K35">
        <v>29</v>
      </c>
      <c r="L35">
        <v>44</v>
      </c>
      <c r="M35">
        <f t="shared" si="0"/>
        <v>2014</v>
      </c>
      <c r="N35">
        <f t="shared" ca="1" si="1"/>
        <v>0</v>
      </c>
      <c r="P35">
        <f ca="1"/>
        <v>0</v>
      </c>
      <c r="Q35" s="25">
        <f t="shared" si="3"/>
        <v>0</v>
      </c>
      <c r="R35">
        <f>INDEX('Frjálsa leiðin'!$C$3:$BN$56,MATCH(Reikningur!L35,'Frjálsa leiðin'!$B$3:$B$56),MATCH(Reikningur!$D$8,'Frjálsa leiðin'!$C$2:$BN$2))</f>
        <v>1409</v>
      </c>
      <c r="S35" s="12">
        <f t="shared" ca="1" si="4"/>
        <v>0</v>
      </c>
      <c r="T35" s="11"/>
      <c r="V35">
        <f ca="1"/>
        <v>0</v>
      </c>
      <c r="W35" s="25">
        <f t="shared" si="5"/>
        <v>0</v>
      </c>
      <c r="X35">
        <f>INDEX('Erfanlega leiðin'!$C$3:$BN$56,MATCH(Reikningur!L35,'Erfanlega leiðin'!$B$3:$B$56),MATCH(Reikningur!$D$8,'Erfanlega leiðin'!$C$2:$BN$2))</f>
        <v>3377</v>
      </c>
      <c r="Y35" s="12">
        <f t="shared" ca="1" si="2"/>
        <v>0</v>
      </c>
      <c r="Z35" s="11"/>
      <c r="AC35" s="117">
        <v>80</v>
      </c>
      <c r="AI35" s="4"/>
      <c r="AK35" s="1"/>
      <c r="AL35" s="36"/>
      <c r="AO35">
        <f t="shared" si="9"/>
        <v>68</v>
      </c>
      <c r="AP35" s="40">
        <f t="shared" si="10"/>
        <v>68</v>
      </c>
      <c r="AR35" s="40">
        <f t="shared" ca="1" si="8"/>
        <v>69</v>
      </c>
      <c r="AT35" s="84">
        <v>5.5E-2</v>
      </c>
    </row>
    <row r="36" spans="2:46" ht="15" thickBot="1" x14ac:dyDescent="0.4">
      <c r="C36" s="132"/>
      <c r="D36" s="133"/>
      <c r="I36" s="1"/>
      <c r="K36">
        <v>30</v>
      </c>
      <c r="L36">
        <v>45</v>
      </c>
      <c r="M36">
        <f t="shared" si="0"/>
        <v>2015</v>
      </c>
      <c r="N36">
        <f t="shared" ca="1" si="1"/>
        <v>0</v>
      </c>
      <c r="P36">
        <f ca="1"/>
        <v>0</v>
      </c>
      <c r="Q36" s="25">
        <f t="shared" si="3"/>
        <v>0</v>
      </c>
      <c r="R36">
        <f>INDEX('Frjálsa leiðin'!$C$3:$BN$56,MATCH(Reikningur!L36,'Frjálsa leiðin'!$B$3:$B$56),MATCH(Reikningur!$D$8,'Frjálsa leiðin'!$C$2:$BN$2))</f>
        <v>1375</v>
      </c>
      <c r="S36" s="12">
        <f t="shared" ca="1" si="4"/>
        <v>0</v>
      </c>
      <c r="T36" s="11"/>
      <c r="V36">
        <f ca="1"/>
        <v>0</v>
      </c>
      <c r="W36" s="25">
        <f t="shared" si="5"/>
        <v>0</v>
      </c>
      <c r="X36">
        <f>INDEX('Erfanlega leiðin'!$C$3:$BN$56,MATCH(Reikningur!L36,'Erfanlega leiðin'!$B$3:$B$56),MATCH(Reikningur!$D$8,'Erfanlega leiðin'!$C$2:$BN$2))</f>
        <v>3364</v>
      </c>
      <c r="Y36" s="12">
        <f t="shared" ca="1" si="2"/>
        <v>0</v>
      </c>
      <c r="Z36" s="11"/>
      <c r="AI36" s="4" t="s">
        <v>47</v>
      </c>
      <c r="AJ36" s="37"/>
      <c r="AK36" s="1"/>
      <c r="AL36" s="36"/>
      <c r="AO36">
        <f t="shared" si="9"/>
        <v>69</v>
      </c>
      <c r="AP36" s="40">
        <f t="shared" si="10"/>
        <v>69</v>
      </c>
      <c r="AR36" s="40">
        <f t="shared" ca="1" si="8"/>
        <v>70</v>
      </c>
      <c r="AT36" s="84">
        <v>0.06</v>
      </c>
    </row>
    <row r="37" spans="2:46" ht="15" thickBot="1" x14ac:dyDescent="0.4">
      <c r="C37" s="109" t="str">
        <f>+IF(D16="Frjálsa leiðin","Útgreiðslur samtrygging Frjálsu leiðarinnar hefjast","Útgreiðslum bundinnar séreignar lýkur, samtrygging Erfanlegu leiðarinnar hefst")</f>
        <v>Útgreiðslur samtrygging Frjálsu leiðarinnar hefjast</v>
      </c>
      <c r="D37" s="58">
        <f>Reiknivél!D40</f>
        <v>0</v>
      </c>
      <c r="E37">
        <f>Reiknivél!D40</f>
        <v>0</v>
      </c>
      <c r="K37">
        <v>31</v>
      </c>
      <c r="L37">
        <v>46</v>
      </c>
      <c r="M37">
        <f t="shared" si="0"/>
        <v>2016</v>
      </c>
      <c r="N37">
        <f t="shared" ca="1" si="1"/>
        <v>0</v>
      </c>
      <c r="P37">
        <f ca="1"/>
        <v>0</v>
      </c>
      <c r="Q37" s="25">
        <f t="shared" si="3"/>
        <v>0</v>
      </c>
      <c r="R37">
        <f>INDEX('Frjálsa leiðin'!$C$3:$BN$56,MATCH(Reikningur!L37,'Frjálsa leiðin'!$B$3:$B$56),MATCH(Reikningur!$D$8,'Frjálsa leiðin'!$C$2:$BN$2))</f>
        <v>1343</v>
      </c>
      <c r="S37" s="12">
        <f t="shared" ca="1" si="4"/>
        <v>0</v>
      </c>
      <c r="T37" s="11"/>
      <c r="V37">
        <f ca="1"/>
        <v>0</v>
      </c>
      <c r="W37" s="25">
        <f t="shared" si="5"/>
        <v>0</v>
      </c>
      <c r="X37">
        <f>INDEX('Erfanlega leiðin'!$C$3:$BN$56,MATCH(Reikningur!L37,'Erfanlega leiðin'!$B$3:$B$56),MATCH(Reikningur!$D$8,'Erfanlega leiðin'!$C$2:$BN$2))</f>
        <v>3357</v>
      </c>
      <c r="Y37" s="12">
        <f t="shared" ca="1" si="2"/>
        <v>0</v>
      </c>
      <c r="Z37" s="11"/>
      <c r="AI37" s="4"/>
      <c r="AJ37" s="37"/>
      <c r="AK37" s="1"/>
      <c r="AL37" s="5"/>
      <c r="AO37">
        <f t="shared" si="9"/>
        <v>70</v>
      </c>
      <c r="AP37" s="40">
        <f t="shared" si="10"/>
        <v>70</v>
      </c>
      <c r="AR37" s="40">
        <f t="shared" ca="1" si="8"/>
        <v>71</v>
      </c>
      <c r="AT37" s="84">
        <v>6.5000000000000002E-2</v>
      </c>
    </row>
    <row r="38" spans="2:46" ht="15" thickBot="1" x14ac:dyDescent="0.4">
      <c r="B38" t="s">
        <v>65</v>
      </c>
      <c r="C38" s="42" t="s">
        <v>66</v>
      </c>
      <c r="D38" s="58">
        <v>80</v>
      </c>
      <c r="K38">
        <v>32</v>
      </c>
      <c r="L38">
        <v>47</v>
      </c>
      <c r="M38">
        <f t="shared" si="0"/>
        <v>2017</v>
      </c>
      <c r="N38">
        <f t="shared" ca="1" si="1"/>
        <v>0</v>
      </c>
      <c r="P38">
        <f ca="1"/>
        <v>0</v>
      </c>
      <c r="Q38" s="25">
        <f t="shared" si="3"/>
        <v>0</v>
      </c>
      <c r="R38">
        <f>INDEX('Frjálsa leiðin'!$C$3:$BN$56,MATCH(Reikningur!L38,'Frjálsa leiðin'!$B$3:$B$56),MATCH(Reikningur!$D$8,'Frjálsa leiðin'!$C$2:$BN$2))</f>
        <v>1312</v>
      </c>
      <c r="S38" s="12">
        <f t="shared" ca="1" si="4"/>
        <v>0</v>
      </c>
      <c r="T38" s="11"/>
      <c r="V38">
        <f ca="1"/>
        <v>0</v>
      </c>
      <c r="W38" s="25">
        <f t="shared" si="5"/>
        <v>0</v>
      </c>
      <c r="X38">
        <f>INDEX('Erfanlega leiðin'!$C$3:$BN$56,MATCH(Reikningur!L38,'Erfanlega leiðin'!$B$3:$B$56),MATCH(Reikningur!$D$8,'Erfanlega leiðin'!$C$2:$BN$2))</f>
        <v>3356</v>
      </c>
      <c r="Y38" s="12">
        <f t="shared" ca="1" si="2"/>
        <v>0</v>
      </c>
      <c r="Z38" s="11"/>
      <c r="AC38" s="13" t="s">
        <v>67</v>
      </c>
      <c r="AD38" s="33"/>
      <c r="AE38" s="14"/>
      <c r="AI38" s="4" t="s">
        <v>48</v>
      </c>
      <c r="AJ38" t="s">
        <v>49</v>
      </c>
      <c r="AK38" t="s">
        <v>49</v>
      </c>
      <c r="AL38" s="5" t="s">
        <v>43</v>
      </c>
      <c r="AO38">
        <f t="shared" si="9"/>
        <v>71</v>
      </c>
      <c r="AP38" s="40">
        <f t="shared" si="10"/>
        <v>71</v>
      </c>
      <c r="AR38" s="40">
        <f t="shared" ca="1" si="8"/>
        <v>72</v>
      </c>
      <c r="AT38" s="84">
        <v>7.0000000000000007E-2</v>
      </c>
    </row>
    <row r="39" spans="2:46" ht="15" thickBot="1" x14ac:dyDescent="0.4">
      <c r="C39" s="107" t="str">
        <f>+"     Útgreiðslutími samtrygging " &amp; IF(D16="Frjálsa leiðin","Frjálsu","Erfanlegu") &amp; " leiðarinnar"</f>
        <v xml:space="preserve">     Útgreiðslutími samtrygging Frjálsu leiðarinnar</v>
      </c>
      <c r="D39" s="108" t="s">
        <v>68</v>
      </c>
      <c r="K39">
        <v>33</v>
      </c>
      <c r="L39">
        <v>48</v>
      </c>
      <c r="M39">
        <f t="shared" ref="M39:M60" si="11">$D$8+L39</f>
        <v>2018</v>
      </c>
      <c r="N39">
        <f t="shared" ref="N39:N60" ca="1" si="12">IF(AND(L39&gt;=$D$9,L39&lt;$D$10),1,0)</f>
        <v>0</v>
      </c>
      <c r="P39">
        <f ca="1"/>
        <v>0</v>
      </c>
      <c r="Q39" s="25">
        <f t="shared" si="3"/>
        <v>0</v>
      </c>
      <c r="R39">
        <f>INDEX('Frjálsa leiðin'!$C$3:$BN$56,MATCH(Reikningur!L39,'Frjálsa leiðin'!$B$3:$B$56),MATCH(Reikningur!$D$8,'Frjálsa leiðin'!$C$2:$BN$2))</f>
        <v>1281</v>
      </c>
      <c r="S39" s="12">
        <f t="shared" ca="1" si="4"/>
        <v>0</v>
      </c>
      <c r="T39" s="11"/>
      <c r="V39">
        <f ca="1"/>
        <v>0</v>
      </c>
      <c r="W39" s="25">
        <f t="shared" si="5"/>
        <v>0</v>
      </c>
      <c r="X39">
        <f>INDEX('Erfanlega leiðin'!$C$3:$BN$56,MATCH(Reikningur!L39,'Erfanlega leiðin'!$B$3:$B$56),MATCH(Reikningur!$D$8,'Erfanlega leiðin'!$C$2:$BN$2))</f>
        <v>3361</v>
      </c>
      <c r="Y39" s="12">
        <f t="shared" ca="1" si="2"/>
        <v>0</v>
      </c>
      <c r="Z39" s="11"/>
      <c r="AC39" s="4" t="s">
        <v>69</v>
      </c>
      <c r="AE39" s="5"/>
      <c r="AI39" s="4" t="s">
        <v>61</v>
      </c>
      <c r="AJ39" s="25">
        <f ca="1">AJ29*(1+m_r)^(12*(D40-D9))</f>
        <v>0</v>
      </c>
      <c r="AK39" s="25">
        <v>0</v>
      </c>
      <c r="AL39" s="35">
        <f ca="1">AJ39+AK39</f>
        <v>0</v>
      </c>
      <c r="AO39">
        <f t="shared" si="9"/>
        <v>72</v>
      </c>
      <c r="AP39" s="40">
        <f t="shared" si="10"/>
        <v>72</v>
      </c>
      <c r="AR39" s="40">
        <f t="shared" ca="1" si="8"/>
        <v>73</v>
      </c>
      <c r="AT39" s="84">
        <v>7.4999999999999997E-2</v>
      </c>
    </row>
    <row r="40" spans="2:46" ht="15" thickBot="1" x14ac:dyDescent="0.4">
      <c r="C40" s="107" t="s">
        <v>70</v>
      </c>
      <c r="D40" s="62">
        <f>+Reiknivél!D39</f>
        <v>0</v>
      </c>
      <c r="K40">
        <v>34</v>
      </c>
      <c r="L40">
        <v>49</v>
      </c>
      <c r="M40">
        <f t="shared" si="11"/>
        <v>2019</v>
      </c>
      <c r="N40">
        <f t="shared" ca="1" si="12"/>
        <v>0</v>
      </c>
      <c r="P40">
        <f ca="1"/>
        <v>0</v>
      </c>
      <c r="Q40" s="25">
        <f t="shared" si="3"/>
        <v>0</v>
      </c>
      <c r="R40">
        <f>INDEX('Frjálsa leiðin'!$C$3:$BN$56,MATCH(Reikningur!L40,'Frjálsa leiðin'!$B$3:$B$56),MATCH(Reikningur!$D$8,'Frjálsa leiðin'!$C$2:$BN$2))</f>
        <v>1252</v>
      </c>
      <c r="S40" s="12">
        <f t="shared" ca="1" si="4"/>
        <v>0</v>
      </c>
      <c r="T40" s="11"/>
      <c r="V40">
        <f ca="1"/>
        <v>0</v>
      </c>
      <c r="W40" s="25">
        <f t="shared" si="5"/>
        <v>0</v>
      </c>
      <c r="X40">
        <f>INDEX('Erfanlega leiðin'!$C$3:$BN$56,MATCH(Reikningur!L40,'Erfanlega leiðin'!$B$3:$B$56),MATCH(Reikningur!$D$8,'Erfanlega leiðin'!$C$2:$BN$2))</f>
        <v>3369</v>
      </c>
      <c r="Y40" s="12">
        <f t="shared" ca="1" si="2"/>
        <v>0</v>
      </c>
      <c r="Z40" s="11"/>
      <c r="AC40" s="28" t="s">
        <v>71</v>
      </c>
      <c r="AD40" s="27"/>
      <c r="AE40" s="30"/>
      <c r="AI40" s="6" t="s">
        <v>63</v>
      </c>
      <c r="AJ40" s="23">
        <f ca="1">AJ30*(1+m_r)^(12*(D40-D9))</f>
        <v>0</v>
      </c>
      <c r="AK40" s="23">
        <f ca="1">AK30*(1+m_r)^(12*(D40-MIN(D10,70)))</f>
        <v>0</v>
      </c>
      <c r="AL40" s="34">
        <f ca="1">AJ40+AK40</f>
        <v>0</v>
      </c>
      <c r="AO40">
        <f t="shared" si="9"/>
        <v>73</v>
      </c>
      <c r="AP40" s="40">
        <f t="shared" si="10"/>
        <v>73</v>
      </c>
      <c r="AR40" s="40">
        <f t="shared" ca="1" si="8"/>
        <v>74</v>
      </c>
      <c r="AT40" s="84">
        <v>0.08</v>
      </c>
    </row>
    <row r="41" spans="2:46" ht="14.5" customHeight="1" x14ac:dyDescent="0.35">
      <c r="C41" s="107" t="s">
        <v>72</v>
      </c>
      <c r="D41" s="62" t="e">
        <f>+Reiknivél!#REF!</f>
        <v>#REF!</v>
      </c>
      <c r="K41">
        <v>35</v>
      </c>
      <c r="L41">
        <v>50</v>
      </c>
      <c r="M41">
        <f t="shared" si="11"/>
        <v>2020</v>
      </c>
      <c r="N41">
        <f t="shared" ca="1" si="12"/>
        <v>0</v>
      </c>
      <c r="P41">
        <f ca="1"/>
        <v>0</v>
      </c>
      <c r="Q41" s="25">
        <f t="shared" si="3"/>
        <v>0</v>
      </c>
      <c r="R41">
        <f>INDEX('Frjálsa leiðin'!$C$3:$BN$56,MATCH(Reikningur!L41,'Frjálsa leiðin'!$B$3:$B$56),MATCH(Reikningur!$D$8,'Frjálsa leiðin'!$C$2:$BN$2))</f>
        <v>1223</v>
      </c>
      <c r="S41" s="12">
        <f ca="1">N41*Q41*R41/10000</f>
        <v>0</v>
      </c>
      <c r="T41" s="11"/>
      <c r="V41">
        <f ca="1"/>
        <v>0</v>
      </c>
      <c r="W41" s="25">
        <f t="shared" si="5"/>
        <v>0</v>
      </c>
      <c r="X41">
        <f>INDEX('Erfanlega leiðin'!$C$3:$BN$56,MATCH(Reikningur!L41,'Erfanlega leiðin'!$B$3:$B$56),MATCH(Reikningur!$D$8,'Erfanlega leiðin'!$C$2:$BN$2))</f>
        <v>3382</v>
      </c>
      <c r="Y41" s="12">
        <f t="shared" ca="1" si="2"/>
        <v>0</v>
      </c>
      <c r="Z41" s="11"/>
      <c r="AC41" s="4"/>
      <c r="AE41" s="5"/>
      <c r="AO41">
        <f t="shared" si="9"/>
        <v>74</v>
      </c>
      <c r="AP41" s="40">
        <f t="shared" si="10"/>
        <v>74</v>
      </c>
      <c r="AR41" s="40">
        <f t="shared" ca="1" si="8"/>
        <v>75</v>
      </c>
      <c r="AT41" s="84">
        <v>8.5000000000000006E-2</v>
      </c>
    </row>
    <row r="42" spans="2:46" ht="14.5" customHeight="1" x14ac:dyDescent="0.35">
      <c r="C42" s="107"/>
      <c r="D42" s="62"/>
      <c r="K42">
        <v>36</v>
      </c>
      <c r="L42">
        <v>51</v>
      </c>
      <c r="M42">
        <f t="shared" si="11"/>
        <v>2021</v>
      </c>
      <c r="N42">
        <f t="shared" ca="1" si="12"/>
        <v>0</v>
      </c>
      <c r="P42">
        <f ca="1"/>
        <v>0</v>
      </c>
      <c r="Q42" s="25">
        <f t="shared" si="3"/>
        <v>0</v>
      </c>
      <c r="R42">
        <f>INDEX('Frjálsa leiðin'!$C$3:$BN$56,MATCH(Reikningur!L42,'Frjálsa leiðin'!$B$3:$B$56),MATCH(Reikningur!$D$8,'Frjálsa leiðin'!$C$2:$BN$2))</f>
        <v>1195</v>
      </c>
      <c r="S42" s="12">
        <f ca="1">N42*Q42*R42/10000</f>
        <v>0</v>
      </c>
      <c r="T42" s="11"/>
      <c r="V42">
        <f ca="1"/>
        <v>0</v>
      </c>
      <c r="W42" s="25">
        <f t="shared" si="5"/>
        <v>0</v>
      </c>
      <c r="X42">
        <f>INDEX('Erfanlega leiðin'!$C$3:$BN$56,MATCH(Reikningur!L42,'Erfanlega leiðin'!$B$3:$B$56),MATCH(Reikningur!$D$8,'Erfanlega leiðin'!$C$2:$BN$2))</f>
        <v>3398</v>
      </c>
      <c r="Y42" s="12">
        <f t="shared" ca="1" si="2"/>
        <v>0</v>
      </c>
      <c r="Z42" s="11"/>
      <c r="AC42" s="4" t="s">
        <v>73</v>
      </c>
      <c r="AE42" s="5"/>
      <c r="AM42" s="26"/>
      <c r="AO42">
        <f t="shared" si="9"/>
        <v>75</v>
      </c>
      <c r="AP42" s="40">
        <f t="shared" si="10"/>
        <v>75</v>
      </c>
      <c r="AR42" s="40">
        <f t="shared" ca="1" si="8"/>
        <v>76</v>
      </c>
      <c r="AT42" s="84">
        <v>0.09</v>
      </c>
    </row>
    <row r="43" spans="2:46" ht="17.5" customHeight="1" thickBot="1" x14ac:dyDescent="0.4">
      <c r="C43" s="110"/>
      <c r="D43" s="108"/>
      <c r="K43">
        <v>37</v>
      </c>
      <c r="L43">
        <v>52</v>
      </c>
      <c r="M43">
        <f t="shared" si="11"/>
        <v>2022</v>
      </c>
      <c r="N43">
        <f t="shared" ca="1" si="12"/>
        <v>0</v>
      </c>
      <c r="P43">
        <f ca="1"/>
        <v>0</v>
      </c>
      <c r="Q43" s="25">
        <f t="shared" si="3"/>
        <v>0</v>
      </c>
      <c r="R43">
        <f>INDEX('Frjálsa leiðin'!$C$3:$BN$56,MATCH(Reikningur!L43,'Frjálsa leiðin'!$B$3:$B$56),MATCH(Reikningur!$D$8,'Frjálsa leiðin'!$C$2:$BN$2))</f>
        <v>1167</v>
      </c>
      <c r="S43" s="12">
        <f t="shared" ca="1" si="4"/>
        <v>0</v>
      </c>
      <c r="T43" s="11"/>
      <c r="V43">
        <f ca="1"/>
        <v>0</v>
      </c>
      <c r="W43" s="25">
        <f t="shared" si="5"/>
        <v>0</v>
      </c>
      <c r="X43">
        <f>INDEX('Erfanlega leiðin'!$C$3:$BN$56,MATCH(Reikningur!L43,'Erfanlega leiðin'!$B$3:$B$56),MATCH(Reikningur!$D$8,'Erfanlega leiðin'!$C$2:$BN$2))</f>
        <v>3418</v>
      </c>
      <c r="Y43" s="12">
        <f t="shared" ca="1" si="2"/>
        <v>0</v>
      </c>
      <c r="Z43" s="11"/>
      <c r="AC43" s="29" t="s">
        <v>74</v>
      </c>
      <c r="AD43" s="31"/>
      <c r="AE43" s="32"/>
      <c r="AO43">
        <f t="shared" si="9"/>
        <v>76</v>
      </c>
      <c r="AP43" s="40">
        <f t="shared" si="10"/>
        <v>76</v>
      </c>
      <c r="AR43" s="40">
        <f t="shared" ca="1" si="8"/>
        <v>77</v>
      </c>
      <c r="AT43" s="84">
        <v>9.5000000000000001E-2</v>
      </c>
    </row>
    <row r="44" spans="2:46" ht="15" customHeight="1" x14ac:dyDescent="0.35">
      <c r="C44" s="43" t="s">
        <v>75</v>
      </c>
      <c r="D44" s="63">
        <f>Reiknivél!D42</f>
        <v>0</v>
      </c>
      <c r="K44">
        <v>38</v>
      </c>
      <c r="L44">
        <v>53</v>
      </c>
      <c r="M44">
        <f t="shared" si="11"/>
        <v>2023</v>
      </c>
      <c r="N44">
        <f t="shared" ca="1" si="12"/>
        <v>0</v>
      </c>
      <c r="P44">
        <f ca="1"/>
        <v>0</v>
      </c>
      <c r="Q44" s="25">
        <f t="shared" si="3"/>
        <v>0</v>
      </c>
      <c r="R44">
        <f>INDEX('Frjálsa leiðin'!$C$3:$BN$56,MATCH(Reikningur!L44,'Frjálsa leiðin'!$B$3:$B$56),MATCH(Reikningur!$D$8,'Frjálsa leiðin'!$C$2:$BN$2))</f>
        <v>1140</v>
      </c>
      <c r="S44" s="12">
        <f t="shared" ca="1" si="4"/>
        <v>0</v>
      </c>
      <c r="T44" s="11"/>
      <c r="V44">
        <f ca="1"/>
        <v>0</v>
      </c>
      <c r="W44" s="25">
        <f t="shared" si="5"/>
        <v>0</v>
      </c>
      <c r="X44">
        <f>INDEX('Erfanlega leiðin'!$C$3:$BN$56,MATCH(Reikningur!L44,'Erfanlega leiðin'!$B$3:$B$56),MATCH(Reikningur!$D$8,'Erfanlega leiðin'!$C$2:$BN$2))</f>
        <v>3442</v>
      </c>
      <c r="Y44" s="12">
        <f t="shared" ca="1" si="2"/>
        <v>0</v>
      </c>
      <c r="Z44" s="11"/>
      <c r="AO44">
        <f t="shared" si="9"/>
        <v>77</v>
      </c>
      <c r="AP44" s="40">
        <f t="shared" si="10"/>
        <v>77</v>
      </c>
      <c r="AR44" s="40">
        <f t="shared" ca="1" si="8"/>
        <v>78</v>
      </c>
      <c r="AT44" s="84">
        <v>0.1</v>
      </c>
    </row>
    <row r="45" spans="2:46" ht="18" customHeight="1" thickBot="1" x14ac:dyDescent="0.4">
      <c r="C45" s="43" t="s">
        <v>76</v>
      </c>
      <c r="D45" s="64">
        <f>Reiknivél!D43</f>
        <v>0</v>
      </c>
      <c r="K45">
        <v>39</v>
      </c>
      <c r="L45">
        <v>54</v>
      </c>
      <c r="M45">
        <f t="shared" si="11"/>
        <v>2024</v>
      </c>
      <c r="N45">
        <f t="shared" ca="1" si="12"/>
        <v>0</v>
      </c>
      <c r="P45">
        <f ca="1"/>
        <v>0</v>
      </c>
      <c r="Q45" s="25">
        <f t="shared" si="3"/>
        <v>0</v>
      </c>
      <c r="R45">
        <f>INDEX('Frjálsa leiðin'!$C$3:$BN$56,MATCH(Reikningur!L45,'Frjálsa leiðin'!$B$3:$B$56),MATCH(Reikningur!$D$8,'Frjálsa leiðin'!$C$2:$BN$2))</f>
        <v>1113</v>
      </c>
      <c r="S45" s="12">
        <f t="shared" ca="1" si="4"/>
        <v>0</v>
      </c>
      <c r="T45" s="11"/>
      <c r="V45">
        <f ca="1"/>
        <v>0</v>
      </c>
      <c r="W45" s="25">
        <f t="shared" si="5"/>
        <v>0</v>
      </c>
      <c r="X45">
        <f>INDEX('Erfanlega leiðin'!$C$3:$BN$56,MATCH(Reikningur!L45,'Erfanlega leiðin'!$B$3:$B$56),MATCH(Reikningur!$D$8,'Erfanlega leiðin'!$C$2:$BN$2))</f>
        <v>3469</v>
      </c>
      <c r="Y45" s="12">
        <f t="shared" ca="1" si="2"/>
        <v>0</v>
      </c>
      <c r="Z45" s="11"/>
      <c r="AO45">
        <f t="shared" si="9"/>
        <v>78</v>
      </c>
      <c r="AP45" s="40">
        <f t="shared" si="10"/>
        <v>78</v>
      </c>
      <c r="AR45" s="39">
        <f t="shared" ca="1" si="8"/>
        <v>79</v>
      </c>
    </row>
    <row r="46" spans="2:46" ht="15.75" customHeight="1" x14ac:dyDescent="0.35">
      <c r="C46" s="43" t="s">
        <v>77</v>
      </c>
      <c r="D46" s="63">
        <f>Reiknivél!D44</f>
        <v>0</v>
      </c>
      <c r="E46" s="25"/>
      <c r="F46" s="25"/>
      <c r="K46">
        <v>40</v>
      </c>
      <c r="L46">
        <v>55</v>
      </c>
      <c r="M46">
        <f t="shared" si="11"/>
        <v>2025</v>
      </c>
      <c r="N46">
        <f t="shared" ca="1" si="12"/>
        <v>0</v>
      </c>
      <c r="P46">
        <f ca="1"/>
        <v>0</v>
      </c>
      <c r="Q46" s="25">
        <f t="shared" si="3"/>
        <v>0</v>
      </c>
      <c r="R46">
        <f>INDEX('Frjálsa leiðin'!$C$3:$BN$56,MATCH(Reikningur!L46,'Frjálsa leiðin'!$B$3:$B$56),MATCH(Reikningur!$D$8,'Frjálsa leiðin'!$C$2:$BN$2))</f>
        <v>1087</v>
      </c>
      <c r="S46" s="12">
        <f ca="1">N46*Q46*R46/10000</f>
        <v>0</v>
      </c>
      <c r="T46" s="11"/>
      <c r="V46">
        <f ca="1"/>
        <v>0</v>
      </c>
      <c r="W46" s="25">
        <f t="shared" si="5"/>
        <v>0</v>
      </c>
      <c r="X46">
        <f>INDEX('Erfanlega leiðin'!$C$3:$BN$56,MATCH(Reikningur!L46,'Erfanlega leiðin'!$B$3:$B$56),MATCH(Reikningur!$D$8,'Erfanlega leiðin'!$C$2:$BN$2))</f>
        <v>3499</v>
      </c>
      <c r="Y46" s="12">
        <f t="shared" ca="1" si="2"/>
        <v>0</v>
      </c>
      <c r="Z46" s="11"/>
      <c r="AD46">
        <f>SUM(AD25:AD34)*12</f>
        <v>1.4904000000000002</v>
      </c>
      <c r="AO46">
        <f t="shared" si="9"/>
        <v>79</v>
      </c>
      <c r="AP46" s="40">
        <f t="shared" si="10"/>
        <v>79</v>
      </c>
    </row>
    <row r="47" spans="2:46" ht="15.75" customHeight="1" thickBot="1" x14ac:dyDescent="0.4">
      <c r="C47" s="50" t="s">
        <v>78</v>
      </c>
      <c r="D47" s="65">
        <f>Reiknivél!D45</f>
        <v>0</v>
      </c>
      <c r="K47">
        <v>41</v>
      </c>
      <c r="L47">
        <v>56</v>
      </c>
      <c r="M47">
        <f t="shared" si="11"/>
        <v>2026</v>
      </c>
      <c r="N47">
        <f t="shared" ca="1" si="12"/>
        <v>0</v>
      </c>
      <c r="P47">
        <f ca="1"/>
        <v>0</v>
      </c>
      <c r="Q47" s="25">
        <f t="shared" si="3"/>
        <v>0</v>
      </c>
      <c r="R47">
        <f>INDEX('Frjálsa leiðin'!$C$3:$BN$56,MATCH(Reikningur!L47,'Frjálsa leiðin'!$B$3:$B$56),MATCH(Reikningur!$D$8,'Frjálsa leiðin'!$C$2:$BN$2))</f>
        <v>1061</v>
      </c>
      <c r="S47" s="12">
        <f t="shared" ca="1" si="4"/>
        <v>0</v>
      </c>
      <c r="T47" s="11"/>
      <c r="V47">
        <f ca="1"/>
        <v>0</v>
      </c>
      <c r="W47" s="25">
        <f t="shared" si="5"/>
        <v>0</v>
      </c>
      <c r="X47">
        <f>INDEX('Erfanlega leiðin'!$C$3:$BN$56,MATCH(Reikningur!L47,'Erfanlega leiðin'!$B$3:$B$56),MATCH(Reikningur!$D$8,'Erfanlega leiðin'!$C$2:$BN$2))</f>
        <v>3534</v>
      </c>
      <c r="Y47" s="12">
        <f t="shared" ca="1" si="2"/>
        <v>0</v>
      </c>
      <c r="Z47" s="11"/>
      <c r="AO47">
        <f t="shared" si="9"/>
        <v>80</v>
      </c>
      <c r="AP47" s="39">
        <f t="shared" si="10"/>
        <v>80</v>
      </c>
    </row>
    <row r="48" spans="2:46" ht="15" customHeight="1" x14ac:dyDescent="0.35">
      <c r="C48" s="121" t="str">
        <f>+"Staða við starfslok ef framtíðariðgjöld greiðast í " &amp; IF(D16="Frjálsa leiðin","Frjálsu leiðina","Erfanlegu leiðina")</f>
        <v>Staða við starfslok ef framtíðariðgjöld greiðast í Frjálsu leiðina</v>
      </c>
      <c r="D48" s="122"/>
      <c r="K48">
        <v>42</v>
      </c>
      <c r="L48">
        <v>57</v>
      </c>
      <c r="M48">
        <f t="shared" si="11"/>
        <v>2027</v>
      </c>
      <c r="N48">
        <f t="shared" ca="1" si="12"/>
        <v>0</v>
      </c>
      <c r="P48">
        <f ca="1"/>
        <v>0</v>
      </c>
      <c r="Q48" s="25">
        <f t="shared" si="3"/>
        <v>0</v>
      </c>
      <c r="R48">
        <f>INDEX('Frjálsa leiðin'!$C$3:$BN$56,MATCH(Reikningur!L48,'Frjálsa leiðin'!$B$3:$B$56),MATCH(Reikningur!$D$8,'Frjálsa leiðin'!$C$2:$BN$2))</f>
        <v>1036</v>
      </c>
      <c r="S48" s="12">
        <f t="shared" ca="1" si="4"/>
        <v>0</v>
      </c>
      <c r="T48" s="11"/>
      <c r="V48">
        <f ca="1"/>
        <v>0</v>
      </c>
      <c r="W48" s="25">
        <f t="shared" si="5"/>
        <v>0</v>
      </c>
      <c r="X48">
        <f>INDEX('Erfanlega leiðin'!$C$3:$BN$56,MATCH(Reikningur!L48,'Erfanlega leiðin'!$B$3:$B$56),MATCH(Reikningur!$D$8,'Erfanlega leiðin'!$C$2:$BN$2))</f>
        <v>3571</v>
      </c>
      <c r="Y48" s="12">
        <f t="shared" ca="1" si="2"/>
        <v>0</v>
      </c>
      <c r="Z48" s="11"/>
      <c r="AI48" s="16" t="s">
        <v>79</v>
      </c>
      <c r="AJ48" s="21"/>
      <c r="AK48" s="21"/>
      <c r="AL48" s="17"/>
      <c r="AO48">
        <v>82</v>
      </c>
      <c r="AP48" s="40">
        <f>IF($D$16="Frjálsa leiðin",70,IF(AC8&lt;$D$40,$D$40,AC8))</f>
        <v>70</v>
      </c>
    </row>
    <row r="49" spans="3:42" ht="15" customHeight="1" thickBot="1" x14ac:dyDescent="0.4">
      <c r="C49" s="123"/>
      <c r="D49" s="124"/>
      <c r="F49" s="25"/>
      <c r="K49">
        <v>43</v>
      </c>
      <c r="L49">
        <v>58</v>
      </c>
      <c r="M49">
        <f t="shared" si="11"/>
        <v>2028</v>
      </c>
      <c r="N49">
        <f t="shared" ca="1" si="12"/>
        <v>0</v>
      </c>
      <c r="P49">
        <f ca="1"/>
        <v>0</v>
      </c>
      <c r="Q49" s="25">
        <f t="shared" si="3"/>
        <v>0</v>
      </c>
      <c r="R49">
        <f>INDEX('Frjálsa leiðin'!$C$3:$BN$56,MATCH(Reikningur!L49,'Frjálsa leiðin'!$B$3:$B$56),MATCH(Reikningur!$D$8,'Frjálsa leiðin'!$C$2:$BN$2))</f>
        <v>1011</v>
      </c>
      <c r="S49" s="12">
        <f t="shared" ca="1" si="4"/>
        <v>0</v>
      </c>
      <c r="T49" s="11"/>
      <c r="V49">
        <f ca="1"/>
        <v>0</v>
      </c>
      <c r="W49" s="25">
        <f t="shared" si="5"/>
        <v>0</v>
      </c>
      <c r="X49">
        <f>INDEX('Erfanlega leiðin'!$C$3:$BN$56,MATCH(Reikningur!L49,'Erfanlega leiðin'!$B$3:$B$56),MATCH(Reikningur!$D$8,'Erfanlega leiðin'!$C$2:$BN$2))</f>
        <v>3613</v>
      </c>
      <c r="Y49" s="12">
        <f t="shared" ca="1" si="2"/>
        <v>0</v>
      </c>
      <c r="Z49" s="11"/>
      <c r="AI49" s="4"/>
      <c r="AL49" s="5"/>
      <c r="AO49">
        <v>83</v>
      </c>
      <c r="AP49" s="40">
        <f t="shared" ref="AP49:AP51" si="13">IF($D$16="Frjálsa leiðin",70,IF(AC9&lt;$D$40,$D$40,AC9))</f>
        <v>70</v>
      </c>
    </row>
    <row r="50" spans="3:42" ht="17.5" customHeight="1" x14ac:dyDescent="0.35">
      <c r="C50" s="43" t="str">
        <f>"Samtrygging úr " &amp; IF(D16="Frjálsa leiðin","Frjálsu","Erfanlegu") &amp; "- mánaðarleg réttindi (" &amp; IF(D16="Frjálsa leiðin",D37,D37) &amp;" ára)"</f>
        <v>Samtrygging úr Frjálsu- mánaðarleg réttindi (0 ára)</v>
      </c>
      <c r="D50" s="67">
        <f ca="1">IF(D16="Frjálsa leiðin",R4+T5,X4+Z4)</f>
        <v>0</v>
      </c>
      <c r="K50">
        <v>44</v>
      </c>
      <c r="L50">
        <v>59</v>
      </c>
      <c r="M50">
        <f t="shared" si="11"/>
        <v>2029</v>
      </c>
      <c r="N50">
        <f t="shared" ca="1" si="12"/>
        <v>0</v>
      </c>
      <c r="P50">
        <f ca="1"/>
        <v>0</v>
      </c>
      <c r="Q50" s="25">
        <f t="shared" si="3"/>
        <v>0</v>
      </c>
      <c r="R50">
        <f>INDEX('Frjálsa leiðin'!$C$3:$BN$56,MATCH(Reikningur!L50,'Frjálsa leiðin'!$B$3:$B$56),MATCH(Reikningur!$D$8,'Frjálsa leiðin'!$C$2:$BN$2))</f>
        <v>987</v>
      </c>
      <c r="S50" s="12">
        <f t="shared" ca="1" si="4"/>
        <v>0</v>
      </c>
      <c r="T50" s="11"/>
      <c r="V50">
        <f ca="1"/>
        <v>0</v>
      </c>
      <c r="W50" s="25">
        <f t="shared" si="5"/>
        <v>0</v>
      </c>
      <c r="X50">
        <f>INDEX('Erfanlega leiðin'!$C$3:$BN$56,MATCH(Reikningur!L50,'Erfanlega leiðin'!$B$3:$B$56),MATCH(Reikningur!$D$8,'Erfanlega leiðin'!$C$2:$BN$2))</f>
        <v>3659</v>
      </c>
      <c r="Y50" s="12">
        <f t="shared" ca="1" si="2"/>
        <v>0</v>
      </c>
      <c r="Z50" s="11"/>
      <c r="AI50" s="4"/>
      <c r="AJ50" t="s">
        <v>28</v>
      </c>
      <c r="AK50" t="s">
        <v>29</v>
      </c>
      <c r="AL50" s="5"/>
      <c r="AO50">
        <v>84</v>
      </c>
      <c r="AP50" s="40">
        <f t="shared" si="13"/>
        <v>70</v>
      </c>
    </row>
    <row r="51" spans="3:42" ht="15" customHeight="1" x14ac:dyDescent="0.35">
      <c r="C51" s="49" t="str">
        <f>"Bundin séreign - erfanleg heildareign (" &amp; D40 &amp;" ára)"</f>
        <v>Bundin séreign - erfanleg heildareign (0 ára)</v>
      </c>
      <c r="D51" s="68">
        <f ca="1">IF(D16="Frjálsa leiðin",AL33,AL34)</f>
        <v>0</v>
      </c>
      <c r="K51">
        <v>45</v>
      </c>
      <c r="L51">
        <v>60</v>
      </c>
      <c r="M51">
        <f t="shared" si="11"/>
        <v>2030</v>
      </c>
      <c r="N51">
        <f t="shared" ca="1" si="12"/>
        <v>0</v>
      </c>
      <c r="P51">
        <f ca="1"/>
        <v>0</v>
      </c>
      <c r="Q51" s="25">
        <f t="shared" si="3"/>
        <v>0</v>
      </c>
      <c r="R51">
        <f>INDEX('Frjálsa leiðin'!$C$3:$BN$56,MATCH(Reikningur!L51,'Frjálsa leiðin'!$B$3:$B$56),MATCH(Reikningur!$D$8,'Frjálsa leiðin'!$C$2:$BN$2))</f>
        <v>963</v>
      </c>
      <c r="S51" s="12">
        <f t="shared" ca="1" si="4"/>
        <v>0</v>
      </c>
      <c r="T51" s="11"/>
      <c r="V51">
        <f ca="1"/>
        <v>0</v>
      </c>
      <c r="W51" s="25">
        <f t="shared" si="5"/>
        <v>0</v>
      </c>
      <c r="X51">
        <f>INDEX('Erfanlega leiðin'!$C$3:$BN$56,MATCH(Reikningur!L51,'Erfanlega leiðin'!$B$3:$B$56),MATCH(Reikningur!$D$8,'Erfanlega leiðin'!$C$2:$BN$2))</f>
        <v>3708</v>
      </c>
      <c r="Y51" s="12">
        <f t="shared" ca="1" si="2"/>
        <v>0</v>
      </c>
      <c r="Z51" s="11"/>
      <c r="AI51" s="4"/>
      <c r="AJ51" s="25">
        <f>+D34</f>
        <v>0</v>
      </c>
      <c r="AK51" s="25">
        <f ca="1">(D27)*((1+m_r)^(12*(MIN(D10,70)-D9))-1)/(m_r)</f>
        <v>0</v>
      </c>
      <c r="AL51" s="22"/>
      <c r="AO51">
        <v>85</v>
      </c>
      <c r="AP51" s="40">
        <f t="shared" si="13"/>
        <v>70</v>
      </c>
    </row>
    <row r="52" spans="3:42" ht="15" customHeight="1" x14ac:dyDescent="0.35">
      <c r="C52" s="43" t="str">
        <f>"Frjáls séreign - erfanleg heildareign (" &amp; D44 &amp;" ára)"</f>
        <v>Frjáls séreign - erfanleg heildareign (0 ára)</v>
      </c>
      <c r="D52" s="68">
        <f ca="1">IF(D16="Frjálsa leiðin",AM16,AM17)</f>
        <v>0</v>
      </c>
      <c r="K52">
        <v>46</v>
      </c>
      <c r="L52">
        <v>61</v>
      </c>
      <c r="M52">
        <f t="shared" si="11"/>
        <v>2031</v>
      </c>
      <c r="N52">
        <f t="shared" ca="1" si="12"/>
        <v>0</v>
      </c>
      <c r="P52">
        <f ca="1"/>
        <v>0</v>
      </c>
      <c r="Q52" s="25">
        <f t="shared" si="3"/>
        <v>0</v>
      </c>
      <c r="R52">
        <f>INDEX('Frjálsa leiðin'!$C$3:$BN$56,MATCH(Reikningur!L52,'Frjálsa leiðin'!$B$3:$B$56),MATCH(Reikningur!$D$8,'Frjálsa leiðin'!$C$2:$BN$2))</f>
        <v>940</v>
      </c>
      <c r="S52" s="12">
        <f t="shared" ca="1" si="4"/>
        <v>0</v>
      </c>
      <c r="T52" s="11"/>
      <c r="V52">
        <f ca="1"/>
        <v>0</v>
      </c>
      <c r="W52" s="25">
        <f t="shared" si="5"/>
        <v>0</v>
      </c>
      <c r="X52">
        <f>INDEX('Erfanlega leiðin'!$C$3:$BN$56,MATCH(Reikningur!L52,'Erfanlega leiðin'!$B$3:$B$56),MATCH(Reikningur!$D$8,'Erfanlega leiðin'!$C$2:$BN$2))</f>
        <v>3761</v>
      </c>
      <c r="Y52" s="12">
        <f t="shared" ca="1" si="2"/>
        <v>0</v>
      </c>
      <c r="Z52" s="11"/>
      <c r="AI52" s="4"/>
      <c r="AJ52" s="25"/>
      <c r="AK52" s="25"/>
      <c r="AL52" s="5"/>
    </row>
    <row r="53" spans="3:42" ht="15" customHeight="1" x14ac:dyDescent="0.35">
      <c r="C53" s="43" t="str">
        <f>"Viðbótarsparnaður - erfanleg heildareign (" &amp; D46 &amp;" ára)"</f>
        <v>Viðbótarsparnaður - erfanleg heildareign (0 ára)</v>
      </c>
      <c r="D53" s="68">
        <f ca="1">AL56</f>
        <v>0</v>
      </c>
      <c r="K53">
        <v>47</v>
      </c>
      <c r="L53">
        <v>62</v>
      </c>
      <c r="M53">
        <f t="shared" si="11"/>
        <v>2032</v>
      </c>
      <c r="N53">
        <f t="shared" ca="1" si="12"/>
        <v>0</v>
      </c>
      <c r="P53">
        <f ca="1"/>
        <v>0</v>
      </c>
      <c r="Q53" s="25">
        <f t="shared" si="3"/>
        <v>0</v>
      </c>
      <c r="R53">
        <f>INDEX('Frjálsa leiðin'!$C$3:$BN$56,MATCH(Reikningur!L53,'Frjálsa leiðin'!$B$3:$B$56),MATCH(Reikningur!$D$8,'Frjálsa leiðin'!$C$2:$BN$2))</f>
        <v>917</v>
      </c>
      <c r="S53" s="12">
        <f t="shared" ca="1" si="4"/>
        <v>0</v>
      </c>
      <c r="T53" s="11"/>
      <c r="V53">
        <f ca="1"/>
        <v>0</v>
      </c>
      <c r="W53" s="25">
        <f t="shared" si="5"/>
        <v>0</v>
      </c>
      <c r="X53">
        <f>INDEX('Erfanlega leiðin'!$C$3:$BN$56,MATCH(Reikningur!L53,'Erfanlega leiðin'!$B$3:$B$56),MATCH(Reikningur!$D$8,'Erfanlega leiðin'!$C$2:$BN$2))</f>
        <v>3817</v>
      </c>
      <c r="Y53" s="12">
        <f t="shared" ca="1" si="2"/>
        <v>0</v>
      </c>
      <c r="Z53" s="11"/>
      <c r="AI53" s="4" t="s">
        <v>47</v>
      </c>
      <c r="AJ53" s="37"/>
      <c r="AK53" s="1"/>
      <c r="AL53" s="36"/>
    </row>
    <row r="54" spans="3:42" ht="15.75" customHeight="1" x14ac:dyDescent="0.35">
      <c r="C54" s="51" t="str">
        <f>"Erfanleg séreign samtals (" &amp; D10 &amp;" ára)"</f>
        <v>Erfanleg séreign samtals (0 ára)</v>
      </c>
      <c r="D54" s="66">
        <f ca="1">D53+D52+D51</f>
        <v>0</v>
      </c>
      <c r="K54">
        <v>48</v>
      </c>
      <c r="L54">
        <v>63</v>
      </c>
      <c r="M54">
        <f t="shared" si="11"/>
        <v>2033</v>
      </c>
      <c r="N54">
        <f t="shared" ca="1" si="12"/>
        <v>0</v>
      </c>
      <c r="P54">
        <f ca="1"/>
        <v>0</v>
      </c>
      <c r="Q54" s="25">
        <f t="shared" si="3"/>
        <v>0</v>
      </c>
      <c r="R54">
        <f>INDEX('Frjálsa leiðin'!$C$3:$BN$56,MATCH(Reikningur!L54,'Frjálsa leiðin'!$B$3:$B$56),MATCH(Reikningur!$D$8,'Frjálsa leiðin'!$C$2:$BN$2))</f>
        <v>895</v>
      </c>
      <c r="S54" s="12">
        <f t="shared" ca="1" si="4"/>
        <v>0</v>
      </c>
      <c r="T54" s="11"/>
      <c r="V54">
        <f ca="1"/>
        <v>0</v>
      </c>
      <c r="W54" s="25">
        <f t="shared" si="5"/>
        <v>0</v>
      </c>
      <c r="X54">
        <f>INDEX('Erfanlega leiðin'!$C$3:$BN$56,MATCH(Reikningur!L54,'Erfanlega leiðin'!$B$3:$B$56),MATCH(Reikningur!$D$8,'Erfanlega leiðin'!$C$2:$BN$2))</f>
        <v>3865</v>
      </c>
      <c r="Y54" s="12">
        <f t="shared" ca="1" si="2"/>
        <v>0</v>
      </c>
      <c r="Z54" s="11"/>
      <c r="AI54" s="4"/>
      <c r="AJ54" s="37"/>
      <c r="AK54" s="1"/>
      <c r="AL54" s="5"/>
    </row>
    <row r="55" spans="3:42" ht="17.25" customHeight="1" x14ac:dyDescent="0.35">
      <c r="C55" s="121" t="str">
        <f>+"Staða við starfslok ef enginn framtíðariðgjöld eru greidd"</f>
        <v>Staða við starfslok ef enginn framtíðariðgjöld eru greidd</v>
      </c>
      <c r="D55" s="122"/>
      <c r="K55">
        <v>49</v>
      </c>
      <c r="L55">
        <v>64</v>
      </c>
      <c r="M55">
        <f t="shared" si="11"/>
        <v>2034</v>
      </c>
      <c r="N55">
        <f t="shared" ca="1" si="12"/>
        <v>0</v>
      </c>
      <c r="P55">
        <f ca="1"/>
        <v>0</v>
      </c>
      <c r="Q55" s="25">
        <f t="shared" si="3"/>
        <v>0</v>
      </c>
      <c r="R55">
        <f>INDEX('Frjálsa leiðin'!$C$3:$BN$56,MATCH(Reikningur!L55,'Frjálsa leiðin'!$B$3:$B$56),MATCH(Reikningur!$D$8,'Frjálsa leiðin'!$C$2:$BN$2))</f>
        <v>866</v>
      </c>
      <c r="S55" s="12">
        <f t="shared" ca="1" si="4"/>
        <v>0</v>
      </c>
      <c r="T55" s="11"/>
      <c r="V55">
        <f ca="1"/>
        <v>0</v>
      </c>
      <c r="W55" s="25">
        <f t="shared" si="5"/>
        <v>0</v>
      </c>
      <c r="X55">
        <f>INDEX('Erfanlega leiðin'!$C$3:$BN$56,MATCH(Reikningur!L55,'Erfanlega leiðin'!$B$3:$B$56),MATCH(Reikningur!$D$8,'Erfanlega leiðin'!$C$2:$BN$2))</f>
        <v>4097</v>
      </c>
      <c r="Y55" s="12">
        <f t="shared" ca="1" si="2"/>
        <v>0</v>
      </c>
      <c r="Z55" s="11"/>
      <c r="AI55" s="4"/>
      <c r="AJ55" t="s">
        <v>49</v>
      </c>
      <c r="AK55" t="s">
        <v>49</v>
      </c>
      <c r="AL55" s="5" t="s">
        <v>43</v>
      </c>
    </row>
    <row r="56" spans="3:42" ht="15" thickBot="1" x14ac:dyDescent="0.4">
      <c r="C56" s="123"/>
      <c r="D56" s="124"/>
      <c r="K56">
        <v>50</v>
      </c>
      <c r="L56">
        <v>65</v>
      </c>
      <c r="M56">
        <f t="shared" si="11"/>
        <v>2035</v>
      </c>
      <c r="N56">
        <f t="shared" ca="1" si="12"/>
        <v>0</v>
      </c>
      <c r="P56">
        <f ca="1"/>
        <v>0</v>
      </c>
      <c r="Q56" s="25">
        <f t="shared" si="3"/>
        <v>0</v>
      </c>
      <c r="R56">
        <f>INDEX('Frjálsa leiðin'!$C$3:$BN$56,MATCH(Reikningur!L56,'Frjálsa leiðin'!$B$3:$B$56),MATCH(Reikningur!$D$8,'Frjálsa leiðin'!$C$2:$BN$2))</f>
        <v>850</v>
      </c>
      <c r="S56" s="12">
        <f t="shared" ca="1" si="4"/>
        <v>0</v>
      </c>
      <c r="T56" s="11"/>
      <c r="V56">
        <f ca="1"/>
        <v>0</v>
      </c>
      <c r="W56" s="25">
        <f t="shared" si="5"/>
        <v>0</v>
      </c>
      <c r="X56">
        <f>INDEX('Erfanlega leiðin'!$C$3:$BN$56,MATCH(Reikningur!L56,'Erfanlega leiðin'!$B$3:$B$56),MATCH(Reikningur!$D$8,'Erfanlega leiðin'!$C$2:$BN$2))</f>
        <v>3947</v>
      </c>
      <c r="Y56" s="12">
        <f t="shared" ca="1" si="2"/>
        <v>0</v>
      </c>
      <c r="Z56" s="11"/>
      <c r="AI56" s="4"/>
      <c r="AJ56" s="25">
        <f ca="1">AJ51*(1+m_r)^(12*(D10-D9))</f>
        <v>0</v>
      </c>
      <c r="AK56" s="25">
        <f ca="1">AK51*(1+m_r)^(12*(D10-MIN(D10,D46)))</f>
        <v>0</v>
      </c>
      <c r="AL56" s="88">
        <f ca="1">AJ56+AK56</f>
        <v>0</v>
      </c>
    </row>
    <row r="57" spans="3:42" ht="15.5" x14ac:dyDescent="0.35">
      <c r="C57" s="43" t="str">
        <f>"Samtrygging úr " &amp; IF(D16="Frjálsa leiðin","Frjálsu","Erfanlegu") &amp; "- mánaðarleg réttindi (" &amp; IF(D16="Frjálsa leiðin",D37,D37) &amp;" ára)"</f>
        <v>Samtrygging úr Frjálsu- mánaðarleg réttindi (0 ára)</v>
      </c>
      <c r="D57" s="67">
        <f>IF(D16="Frjálsa leiðin",T5,Z4)</f>
        <v>0</v>
      </c>
      <c r="K57">
        <v>51</v>
      </c>
      <c r="L57">
        <v>66</v>
      </c>
      <c r="M57">
        <f t="shared" si="11"/>
        <v>2036</v>
      </c>
      <c r="N57">
        <f t="shared" ca="1" si="12"/>
        <v>0</v>
      </c>
      <c r="P57">
        <f ca="1"/>
        <v>0</v>
      </c>
      <c r="Q57" s="25">
        <f t="shared" si="3"/>
        <v>0</v>
      </c>
      <c r="R57">
        <f>INDEX('Frjálsa leiðin'!$C$3:$BN$56,MATCH(Reikningur!L57,'Frjálsa leiðin'!$B$3:$B$56),MATCH(Reikningur!$D$8,'Frjálsa leiðin'!$C$2:$BN$2))</f>
        <v>820</v>
      </c>
      <c r="S57" s="12">
        <f t="shared" ca="1" si="4"/>
        <v>0</v>
      </c>
      <c r="T57" s="11"/>
      <c r="V57">
        <f ca="1"/>
        <v>0</v>
      </c>
      <c r="W57" s="25">
        <f t="shared" si="5"/>
        <v>0</v>
      </c>
      <c r="X57">
        <f>INDEX('Erfanlega leiðin'!$C$3:$BN$56,MATCH(Reikningur!L57,'Erfanlega leiðin'!$B$3:$B$56),MATCH(Reikningur!$D$8,'Erfanlega leiðin'!$C$2:$BN$2))</f>
        <v>3847</v>
      </c>
      <c r="Y57" s="12">
        <f t="shared" ca="1" si="2"/>
        <v>0</v>
      </c>
      <c r="Z57" s="11"/>
      <c r="AI57" s="4"/>
      <c r="AL57" s="5"/>
    </row>
    <row r="58" spans="3:42" ht="15.5" x14ac:dyDescent="0.35">
      <c r="C58" s="49" t="str">
        <f>"Bundin séreign - erfanleg heildareign (" &amp; D40 &amp;" ára)"</f>
        <v>Bundin séreign - erfanleg heildareign (0 ára)</v>
      </c>
      <c r="D58" s="68">
        <f ca="1">IF(D16="Frjálsa leiðin",AJ33,AJ34)</f>
        <v>0</v>
      </c>
      <c r="K58">
        <v>52</v>
      </c>
      <c r="L58">
        <v>67</v>
      </c>
      <c r="M58">
        <f t="shared" si="11"/>
        <v>2037</v>
      </c>
      <c r="N58">
        <f t="shared" ca="1" si="12"/>
        <v>0</v>
      </c>
      <c r="P58">
        <f ca="1"/>
        <v>0</v>
      </c>
      <c r="Q58" s="25">
        <f t="shared" si="3"/>
        <v>0</v>
      </c>
      <c r="R58">
        <f>INDEX('Frjálsa leiðin'!$C$3:$BN$56,MATCH(Reikningur!L58,'Frjálsa leiðin'!$B$3:$B$56),MATCH(Reikningur!$D$8,'Frjálsa leiðin'!$C$2:$BN$2))</f>
        <v>790</v>
      </c>
      <c r="S58" s="12">
        <f t="shared" ca="1" si="4"/>
        <v>0</v>
      </c>
      <c r="T58" s="11"/>
      <c r="V58">
        <f ca="1"/>
        <v>0</v>
      </c>
      <c r="W58" s="25">
        <f t="shared" si="5"/>
        <v>0</v>
      </c>
      <c r="X58">
        <f>INDEX('Erfanlega leiðin'!$C$3:$BN$56,MATCH(Reikningur!L58,'Erfanlega leiðin'!$B$3:$B$56),MATCH(Reikningur!$D$8,'Erfanlega leiðin'!$C$2:$BN$2))</f>
        <v>3739</v>
      </c>
      <c r="Y58" s="12">
        <f t="shared" ca="1" si="2"/>
        <v>0</v>
      </c>
      <c r="Z58" s="11"/>
      <c r="AI58" s="4" t="s">
        <v>47</v>
      </c>
      <c r="AJ58" s="37"/>
      <c r="AK58" s="1"/>
      <c r="AL58" s="36"/>
    </row>
    <row r="59" spans="3:42" ht="15.5" x14ac:dyDescent="0.35">
      <c r="C59" s="43" t="str">
        <f>"Frjáls séreign - erfanleg heildareign (" &amp; D44 &amp;" ára)"</f>
        <v>Frjáls séreign - erfanleg heildareign (0 ára)</v>
      </c>
      <c r="D59" s="68">
        <f ca="1">IF(D16="Frjálsa leiðin",AJ16,AJ17)</f>
        <v>0</v>
      </c>
      <c r="K59">
        <v>53</v>
      </c>
      <c r="L59">
        <v>68</v>
      </c>
      <c r="M59">
        <f t="shared" si="11"/>
        <v>2038</v>
      </c>
      <c r="N59">
        <f t="shared" ca="1" si="12"/>
        <v>0</v>
      </c>
      <c r="P59">
        <f ca="1"/>
        <v>0</v>
      </c>
      <c r="Q59" s="25">
        <f t="shared" si="3"/>
        <v>0</v>
      </c>
      <c r="R59">
        <f>INDEX('Frjálsa leiðin'!$C$3:$BN$56,MATCH(Reikningur!L59,'Frjálsa leiðin'!$B$3:$B$56),MATCH(Reikningur!$D$8,'Frjálsa leiðin'!$C$2:$BN$2))</f>
        <v>760</v>
      </c>
      <c r="S59" s="12">
        <f t="shared" ca="1" si="4"/>
        <v>0</v>
      </c>
      <c r="T59" s="11"/>
      <c r="V59">
        <f ca="1"/>
        <v>0</v>
      </c>
      <c r="W59" s="25">
        <f t="shared" si="5"/>
        <v>0</v>
      </c>
      <c r="X59">
        <f>INDEX('Erfanlega leiðin'!$C$3:$BN$56,MATCH(Reikningur!L59,'Erfanlega leiðin'!$B$3:$B$56),MATCH(Reikningur!$D$8,'Erfanlega leiðin'!$C$2:$BN$2))</f>
        <v>3619</v>
      </c>
      <c r="Y59" s="12">
        <f t="shared" ca="1" si="2"/>
        <v>0</v>
      </c>
      <c r="Z59" s="11"/>
      <c r="AI59" s="4"/>
      <c r="AJ59" s="37"/>
      <c r="AK59" s="1"/>
      <c r="AL59" s="5"/>
    </row>
    <row r="60" spans="3:42" ht="15.5" x14ac:dyDescent="0.35">
      <c r="C60" s="43" t="str">
        <f>"Viðbótarsparnaður - erfanleg heildareign (" &amp; D46 &amp;" ára)"</f>
        <v>Viðbótarsparnaður - erfanleg heildareign (0 ára)</v>
      </c>
      <c r="D60" s="68">
        <f ca="1">AJ56</f>
        <v>0</v>
      </c>
      <c r="K60">
        <v>54</v>
      </c>
      <c r="L60">
        <v>69</v>
      </c>
      <c r="M60">
        <f t="shared" si="11"/>
        <v>2039</v>
      </c>
      <c r="N60">
        <f t="shared" ca="1" si="12"/>
        <v>0</v>
      </c>
      <c r="P60">
        <f ca="1"/>
        <v>0</v>
      </c>
      <c r="Q60" s="25">
        <f t="shared" si="3"/>
        <v>0</v>
      </c>
      <c r="R60">
        <f>INDEX('Frjálsa leiðin'!$C$3:$BN$56,MATCH(Reikningur!L60,'Frjálsa leiðin'!$B$3:$B$56),MATCH(Reikningur!$D$8,'Frjálsa leiðin'!$C$2:$BN$2))</f>
        <v>730</v>
      </c>
      <c r="S60" s="12">
        <f t="shared" ca="1" si="4"/>
        <v>0</v>
      </c>
      <c r="T60" s="11"/>
      <c r="V60">
        <f ca="1"/>
        <v>0</v>
      </c>
      <c r="W60" s="25">
        <f t="shared" si="5"/>
        <v>0</v>
      </c>
      <c r="X60">
        <f>INDEX('Erfanlega leiðin'!$C$3:$BN$56,MATCH(Reikningur!L60,'Erfanlega leiðin'!$B$3:$B$56),MATCH(Reikningur!$D$8,'Erfanlega leiðin'!$C$2:$BN$2))</f>
        <v>3478</v>
      </c>
      <c r="Y60" s="12">
        <f t="shared" ca="1" si="2"/>
        <v>0</v>
      </c>
      <c r="Z60" s="11"/>
      <c r="AI60" s="4"/>
      <c r="AJ60" t="s">
        <v>49</v>
      </c>
      <c r="AK60" t="s">
        <v>49</v>
      </c>
      <c r="AL60" s="5" t="s">
        <v>43</v>
      </c>
    </row>
    <row r="61" spans="3:42" ht="16" thickBot="1" x14ac:dyDescent="0.4">
      <c r="C61" s="51" t="str">
        <f>"Erfanleg séreign samtals (" &amp; D10 &amp;" ára)"</f>
        <v>Erfanleg séreign samtals (0 ára)</v>
      </c>
      <c r="D61" s="66">
        <f ca="1">D60+D59+D58</f>
        <v>0</v>
      </c>
      <c r="T61" s="11"/>
      <c r="Z61" s="11"/>
      <c r="AI61" s="6"/>
      <c r="AJ61" s="23">
        <f ca="1">AJ51*(1+m_r)^(12*(D46-D9))</f>
        <v>0</v>
      </c>
      <c r="AK61" s="23">
        <f ca="1">AK51*(1+m_r)^(12*(D46-MIN(D10,D46)))</f>
        <v>0</v>
      </c>
      <c r="AL61" s="89">
        <f ca="1">AJ61+AK61</f>
        <v>0</v>
      </c>
    </row>
    <row r="62" spans="3:42" x14ac:dyDescent="0.35">
      <c r="T62" s="11"/>
      <c r="Z62" s="11"/>
    </row>
    <row r="63" spans="3:42" x14ac:dyDescent="0.35">
      <c r="T63" s="11"/>
      <c r="Z63" s="11"/>
    </row>
    <row r="64" spans="3:42" x14ac:dyDescent="0.35">
      <c r="T64" s="11"/>
      <c r="Z64" s="11"/>
    </row>
    <row r="65" spans="20:26" x14ac:dyDescent="0.35">
      <c r="T65" s="11"/>
      <c r="Z65" s="11"/>
    </row>
    <row r="66" spans="20:26" x14ac:dyDescent="0.35">
      <c r="T66" s="11"/>
      <c r="Z66" s="11"/>
    </row>
    <row r="67" spans="20:26" x14ac:dyDescent="0.35">
      <c r="T67" s="11"/>
      <c r="Z67" s="11"/>
    </row>
    <row r="68" spans="20:26" x14ac:dyDescent="0.35">
      <c r="T68" s="11"/>
      <c r="Z68" s="11"/>
    </row>
    <row r="69" spans="20:26" x14ac:dyDescent="0.35">
      <c r="T69" s="11"/>
      <c r="Z69" s="11"/>
    </row>
    <row r="70" spans="20:26" x14ac:dyDescent="0.35">
      <c r="T70" s="11"/>
      <c r="Z70" s="11"/>
    </row>
    <row r="71" spans="20:26" x14ac:dyDescent="0.35">
      <c r="T71" s="11"/>
      <c r="Z71" s="11"/>
    </row>
    <row r="72" spans="20:26" x14ac:dyDescent="0.35">
      <c r="T72" s="11"/>
      <c r="Z72" s="11"/>
    </row>
    <row r="73" spans="20:26" x14ac:dyDescent="0.35">
      <c r="T73" s="11"/>
      <c r="Z73" s="11"/>
    </row>
    <row r="74" spans="20:26" x14ac:dyDescent="0.35">
      <c r="T74" s="11"/>
      <c r="Z74" s="11"/>
    </row>
    <row r="75" spans="20:26" x14ac:dyDescent="0.35">
      <c r="T75" s="11"/>
      <c r="Z75" s="11"/>
    </row>
    <row r="76" spans="20:26" x14ac:dyDescent="0.35">
      <c r="T76" s="11"/>
      <c r="Z76" s="11"/>
    </row>
    <row r="77" spans="20:26" x14ac:dyDescent="0.35">
      <c r="T77" s="11"/>
      <c r="Z77" s="11"/>
    </row>
    <row r="78" spans="20:26" x14ac:dyDescent="0.35">
      <c r="T78" s="11"/>
      <c r="Z78" s="11"/>
    </row>
    <row r="79" spans="20:26" x14ac:dyDescent="0.35">
      <c r="T79" s="11"/>
      <c r="Z79" s="11"/>
    </row>
    <row r="80" spans="20:26" x14ac:dyDescent="0.35">
      <c r="T80" s="11"/>
      <c r="Z80" s="11"/>
    </row>
    <row r="81" spans="20:26" x14ac:dyDescent="0.35">
      <c r="T81" s="11"/>
      <c r="Z81" s="11"/>
    </row>
    <row r="82" spans="20:26" x14ac:dyDescent="0.35">
      <c r="T82" s="11"/>
      <c r="Z82" s="11"/>
    </row>
    <row r="83" spans="20:26" x14ac:dyDescent="0.35">
      <c r="T83" s="11"/>
      <c r="Z83" s="11"/>
    </row>
    <row r="84" spans="20:26" x14ac:dyDescent="0.35">
      <c r="T84" s="11"/>
      <c r="Z84" s="11"/>
    </row>
    <row r="85" spans="20:26" x14ac:dyDescent="0.35">
      <c r="T85" s="11"/>
      <c r="Z85" s="11"/>
    </row>
    <row r="86" spans="20:26" x14ac:dyDescent="0.35">
      <c r="T86" s="11"/>
      <c r="Z86" s="11"/>
    </row>
    <row r="87" spans="20:26" x14ac:dyDescent="0.35">
      <c r="T87" s="11"/>
      <c r="Z87" s="11"/>
    </row>
    <row r="88" spans="20:26" x14ac:dyDescent="0.35">
      <c r="T88" s="11"/>
      <c r="Z88" s="11"/>
    </row>
    <row r="89" spans="20:26" x14ac:dyDescent="0.35">
      <c r="T89" s="11"/>
      <c r="Z89" s="11"/>
    </row>
    <row r="90" spans="20:26" x14ac:dyDescent="0.35">
      <c r="T90" s="11"/>
      <c r="Z90" s="11"/>
    </row>
    <row r="91" spans="20:26" x14ac:dyDescent="0.35">
      <c r="T91" s="11"/>
      <c r="Z91" s="11"/>
    </row>
    <row r="92" spans="20:26" x14ac:dyDescent="0.35">
      <c r="T92" s="11"/>
      <c r="Z92" s="11"/>
    </row>
    <row r="93" spans="20:26" x14ac:dyDescent="0.35">
      <c r="T93" s="11"/>
      <c r="Z93" s="11"/>
    </row>
    <row r="94" spans="20:26" x14ac:dyDescent="0.35">
      <c r="T94" s="11"/>
      <c r="Z94" s="11"/>
    </row>
    <row r="95" spans="20:26" x14ac:dyDescent="0.35">
      <c r="T95" s="11"/>
      <c r="Z95" s="11"/>
    </row>
    <row r="96" spans="20:26" x14ac:dyDescent="0.35">
      <c r="T96" s="11"/>
      <c r="Z96" s="11"/>
    </row>
    <row r="97" spans="20:26" x14ac:dyDescent="0.35">
      <c r="T97" s="11"/>
      <c r="Z97" s="11"/>
    </row>
    <row r="98" spans="20:26" x14ac:dyDescent="0.35">
      <c r="T98" s="11"/>
      <c r="Z98" s="11"/>
    </row>
    <row r="99" spans="20:26" x14ac:dyDescent="0.35">
      <c r="T99" s="11"/>
      <c r="Z99" s="11"/>
    </row>
    <row r="100" spans="20:26" x14ac:dyDescent="0.35">
      <c r="T100" s="11"/>
      <c r="Z100" s="11"/>
    </row>
    <row r="101" spans="20:26" x14ac:dyDescent="0.35">
      <c r="T101" s="11"/>
      <c r="Z101" s="11"/>
    </row>
    <row r="102" spans="20:26" x14ac:dyDescent="0.35">
      <c r="T102" s="11"/>
      <c r="Z102" s="11"/>
    </row>
    <row r="103" spans="20:26" x14ac:dyDescent="0.35">
      <c r="T103" s="11"/>
      <c r="Z103" s="11"/>
    </row>
    <row r="104" spans="20:26" x14ac:dyDescent="0.35">
      <c r="T104" s="11"/>
      <c r="Z104" s="11"/>
    </row>
    <row r="105" spans="20:26" x14ac:dyDescent="0.35">
      <c r="T105" s="11"/>
      <c r="Z105" s="11"/>
    </row>
    <row r="106" spans="20:26" x14ac:dyDescent="0.35">
      <c r="T106" s="11"/>
      <c r="Z106" s="11"/>
    </row>
    <row r="107" spans="20:26" x14ac:dyDescent="0.35">
      <c r="T107" s="11"/>
      <c r="Z107" s="11"/>
    </row>
    <row r="108" spans="20:26" x14ac:dyDescent="0.35">
      <c r="T108" s="11"/>
      <c r="Z108" s="11"/>
    </row>
    <row r="109" spans="20:26" x14ac:dyDescent="0.35">
      <c r="T109" s="11"/>
      <c r="Z109" s="11"/>
    </row>
    <row r="110" spans="20:26" x14ac:dyDescent="0.35">
      <c r="T110" s="11"/>
      <c r="Z110" s="11"/>
    </row>
    <row r="111" spans="20:26" x14ac:dyDescent="0.35">
      <c r="T111" s="11"/>
      <c r="Z111" s="11"/>
    </row>
    <row r="112" spans="20:26" x14ac:dyDescent="0.35">
      <c r="T112" s="11"/>
      <c r="Z112" s="11"/>
    </row>
    <row r="113" spans="20:26" x14ac:dyDescent="0.35">
      <c r="T113" s="11"/>
      <c r="Z113" s="11"/>
    </row>
    <row r="114" spans="20:26" x14ac:dyDescent="0.35">
      <c r="T114" s="11"/>
      <c r="Z114" s="11"/>
    </row>
    <row r="115" spans="20:26" x14ac:dyDescent="0.35">
      <c r="T115" s="11"/>
      <c r="Z115" s="11"/>
    </row>
    <row r="116" spans="20:26" x14ac:dyDescent="0.35">
      <c r="T116" s="11"/>
      <c r="Z116" s="11"/>
    </row>
    <row r="117" spans="20:26" x14ac:dyDescent="0.35">
      <c r="T117" s="11"/>
      <c r="Z117" s="11"/>
    </row>
    <row r="118" spans="20:26" x14ac:dyDescent="0.35">
      <c r="T118" s="11"/>
      <c r="Z118" s="11"/>
    </row>
    <row r="119" spans="20:26" x14ac:dyDescent="0.35">
      <c r="T119" s="11"/>
      <c r="Z119" s="11"/>
    </row>
    <row r="120" spans="20:26" x14ac:dyDescent="0.35">
      <c r="T120" s="11"/>
      <c r="Z120" s="11"/>
    </row>
    <row r="121" spans="20:26" x14ac:dyDescent="0.35">
      <c r="T121" s="11"/>
      <c r="Z121" s="11"/>
    </row>
    <row r="122" spans="20:26" x14ac:dyDescent="0.35">
      <c r="T122" s="11"/>
      <c r="Z122" s="11"/>
    </row>
    <row r="123" spans="20:26" x14ac:dyDescent="0.35">
      <c r="T123" s="11"/>
      <c r="Z123" s="11"/>
    </row>
    <row r="124" spans="20:26" x14ac:dyDescent="0.35">
      <c r="T124" s="11"/>
      <c r="Z124" s="11"/>
    </row>
    <row r="125" spans="20:26" x14ac:dyDescent="0.35">
      <c r="T125" s="11"/>
      <c r="Z125" s="11"/>
    </row>
    <row r="126" spans="20:26" x14ac:dyDescent="0.35">
      <c r="T126" s="11"/>
      <c r="Z126" s="11"/>
    </row>
    <row r="127" spans="20:26" x14ac:dyDescent="0.35">
      <c r="T127" s="11"/>
      <c r="Z127" s="11"/>
    </row>
    <row r="128" spans="20:26" x14ac:dyDescent="0.35">
      <c r="T128" s="11"/>
      <c r="Z128" s="11"/>
    </row>
    <row r="129" spans="20:26" x14ac:dyDescent="0.35">
      <c r="T129" s="11"/>
      <c r="Z129" s="11"/>
    </row>
    <row r="130" spans="20:26" x14ac:dyDescent="0.35">
      <c r="T130" s="11"/>
      <c r="Z130" s="11"/>
    </row>
    <row r="131" spans="20:26" x14ac:dyDescent="0.35">
      <c r="T131" s="11"/>
      <c r="Z131" s="11"/>
    </row>
    <row r="132" spans="20:26" x14ac:dyDescent="0.35">
      <c r="T132" s="11"/>
      <c r="Z132" s="11"/>
    </row>
    <row r="133" spans="20:26" x14ac:dyDescent="0.35">
      <c r="T133" s="11"/>
      <c r="Z133" s="11"/>
    </row>
    <row r="134" spans="20:26" x14ac:dyDescent="0.35">
      <c r="T134" s="11"/>
      <c r="Z134" s="11"/>
    </row>
    <row r="135" spans="20:26" x14ac:dyDescent="0.35">
      <c r="T135" s="11"/>
      <c r="Z135" s="11"/>
    </row>
    <row r="136" spans="20:26" x14ac:dyDescent="0.35">
      <c r="T136" s="11"/>
      <c r="Z136" s="11"/>
    </row>
    <row r="137" spans="20:26" x14ac:dyDescent="0.35">
      <c r="T137" s="11"/>
      <c r="Z137" s="11"/>
    </row>
    <row r="138" spans="20:26" x14ac:dyDescent="0.35">
      <c r="T138" s="11"/>
      <c r="Z138" s="11"/>
    </row>
    <row r="139" spans="20:26" x14ac:dyDescent="0.35">
      <c r="T139" s="11"/>
      <c r="Z139" s="11"/>
    </row>
    <row r="140" spans="20:26" x14ac:dyDescent="0.35">
      <c r="T140" s="11"/>
      <c r="Z140" s="11"/>
    </row>
    <row r="141" spans="20:26" x14ac:dyDescent="0.35">
      <c r="T141" s="11"/>
      <c r="Z141" s="11"/>
    </row>
    <row r="142" spans="20:26" x14ac:dyDescent="0.35">
      <c r="T142" s="11"/>
      <c r="Z142" s="11"/>
    </row>
    <row r="143" spans="20:26" x14ac:dyDescent="0.35">
      <c r="T143" s="11"/>
      <c r="Z143" s="11"/>
    </row>
    <row r="144" spans="20:26" x14ac:dyDescent="0.35">
      <c r="T144" s="11"/>
      <c r="Z144" s="11"/>
    </row>
    <row r="145" spans="20:26" x14ac:dyDescent="0.35">
      <c r="T145" s="11"/>
      <c r="Z145" s="11"/>
    </row>
    <row r="146" spans="20:26" x14ac:dyDescent="0.35">
      <c r="T146" s="11"/>
      <c r="Z146" s="11"/>
    </row>
    <row r="147" spans="20:26" x14ac:dyDescent="0.35">
      <c r="T147" s="11"/>
      <c r="Z147" s="11"/>
    </row>
    <row r="148" spans="20:26" x14ac:dyDescent="0.35">
      <c r="T148" s="11"/>
      <c r="Z148" s="11"/>
    </row>
    <row r="149" spans="20:26" x14ac:dyDescent="0.35">
      <c r="T149" s="11"/>
      <c r="Z149" s="11"/>
    </row>
    <row r="150" spans="20:26" x14ac:dyDescent="0.35">
      <c r="T150" s="11"/>
      <c r="Z150" s="11"/>
    </row>
    <row r="151" spans="20:26" x14ac:dyDescent="0.35">
      <c r="T151" s="11"/>
      <c r="Z151" s="11"/>
    </row>
    <row r="152" spans="20:26" x14ac:dyDescent="0.35">
      <c r="T152" s="11"/>
      <c r="Z152" s="11"/>
    </row>
    <row r="153" spans="20:26" x14ac:dyDescent="0.35">
      <c r="T153" s="11"/>
      <c r="Z153" s="11"/>
    </row>
    <row r="154" spans="20:26" x14ac:dyDescent="0.35">
      <c r="T154" s="11"/>
      <c r="Z154" s="11"/>
    </row>
    <row r="155" spans="20:26" x14ac:dyDescent="0.35">
      <c r="T155" s="11"/>
      <c r="Z155" s="11"/>
    </row>
    <row r="156" spans="20:26" x14ac:dyDescent="0.35">
      <c r="T156" s="11"/>
      <c r="Z156" s="11"/>
    </row>
    <row r="157" spans="20:26" x14ac:dyDescent="0.35">
      <c r="T157" s="11"/>
      <c r="Z157" s="11"/>
    </row>
    <row r="158" spans="20:26" x14ac:dyDescent="0.35">
      <c r="T158" s="11"/>
      <c r="Z158" s="11"/>
    </row>
    <row r="159" spans="20:26" x14ac:dyDescent="0.35">
      <c r="T159" s="11"/>
      <c r="Z159" s="11"/>
    </row>
    <row r="160" spans="20:26" x14ac:dyDescent="0.35">
      <c r="T160" s="11"/>
      <c r="Z160" s="11"/>
    </row>
    <row r="161" spans="20:26" x14ac:dyDescent="0.35">
      <c r="T161" s="11"/>
      <c r="Z161" s="11"/>
    </row>
    <row r="162" spans="20:26" x14ac:dyDescent="0.35">
      <c r="T162" s="11"/>
      <c r="Z162" s="11"/>
    </row>
    <row r="163" spans="20:26" x14ac:dyDescent="0.35">
      <c r="T163" s="11"/>
      <c r="Z163" s="11"/>
    </row>
    <row r="164" spans="20:26" x14ac:dyDescent="0.35">
      <c r="T164" s="11"/>
      <c r="Z164" s="11"/>
    </row>
    <row r="165" spans="20:26" x14ac:dyDescent="0.35">
      <c r="T165" s="11"/>
      <c r="Z165" s="11"/>
    </row>
    <row r="166" spans="20:26" x14ac:dyDescent="0.35">
      <c r="T166" s="11"/>
      <c r="Z166" s="11"/>
    </row>
    <row r="167" spans="20:26" x14ac:dyDescent="0.35">
      <c r="T167" s="11"/>
      <c r="Z167" s="11"/>
    </row>
    <row r="168" spans="20:26" x14ac:dyDescent="0.35">
      <c r="T168" s="11"/>
      <c r="Z168" s="11"/>
    </row>
    <row r="169" spans="20:26" x14ac:dyDescent="0.35">
      <c r="T169" s="11"/>
      <c r="Z169" s="11"/>
    </row>
    <row r="170" spans="20:26" x14ac:dyDescent="0.35">
      <c r="T170" s="11"/>
      <c r="Z170" s="11"/>
    </row>
    <row r="171" spans="20:26" x14ac:dyDescent="0.35">
      <c r="T171" s="11"/>
      <c r="Z171" s="11"/>
    </row>
    <row r="172" spans="20:26" x14ac:dyDescent="0.35">
      <c r="T172" s="11"/>
      <c r="Z172" s="11"/>
    </row>
    <row r="173" spans="20:26" x14ac:dyDescent="0.35">
      <c r="T173" s="11"/>
      <c r="Z173" s="11"/>
    </row>
    <row r="174" spans="20:26" x14ac:dyDescent="0.35">
      <c r="T174" s="11"/>
      <c r="Z174" s="11"/>
    </row>
    <row r="175" spans="20:26" x14ac:dyDescent="0.35">
      <c r="T175" s="11"/>
      <c r="Z175" s="11"/>
    </row>
    <row r="176" spans="20:26" x14ac:dyDescent="0.35">
      <c r="T176" s="11"/>
      <c r="Z176" s="11"/>
    </row>
    <row r="177" spans="20:26" x14ac:dyDescent="0.35">
      <c r="T177" s="11"/>
      <c r="Z177" s="11"/>
    </row>
    <row r="178" spans="20:26" x14ac:dyDescent="0.35">
      <c r="T178" s="11"/>
      <c r="Z178" s="11"/>
    </row>
    <row r="179" spans="20:26" x14ac:dyDescent="0.35">
      <c r="T179" s="11"/>
      <c r="Z179" s="11"/>
    </row>
    <row r="180" spans="20:26" x14ac:dyDescent="0.35">
      <c r="T180" s="11"/>
      <c r="Z180" s="11"/>
    </row>
    <row r="181" spans="20:26" x14ac:dyDescent="0.35">
      <c r="T181" s="11"/>
      <c r="Z181" s="11"/>
    </row>
    <row r="182" spans="20:26" x14ac:dyDescent="0.35">
      <c r="T182" s="11"/>
      <c r="Z182" s="11"/>
    </row>
    <row r="183" spans="20:26" x14ac:dyDescent="0.35">
      <c r="T183" s="11"/>
      <c r="Z183" s="11"/>
    </row>
    <row r="184" spans="20:26" x14ac:dyDescent="0.35">
      <c r="T184" s="11"/>
      <c r="Z184" s="11"/>
    </row>
    <row r="185" spans="20:26" x14ac:dyDescent="0.35">
      <c r="T185" s="11"/>
      <c r="Z185" s="11"/>
    </row>
    <row r="186" spans="20:26" x14ac:dyDescent="0.35">
      <c r="T186" s="11"/>
      <c r="Z186" s="11"/>
    </row>
    <row r="187" spans="20:26" x14ac:dyDescent="0.35">
      <c r="T187" s="11"/>
      <c r="Z187" s="11"/>
    </row>
    <row r="188" spans="20:26" x14ac:dyDescent="0.35">
      <c r="T188" s="11"/>
      <c r="Z188" s="11"/>
    </row>
    <row r="189" spans="20:26" x14ac:dyDescent="0.35">
      <c r="T189" s="11"/>
      <c r="Z189" s="11"/>
    </row>
    <row r="190" spans="20:26" x14ac:dyDescent="0.35">
      <c r="T190" s="11"/>
      <c r="Z190" s="11"/>
    </row>
    <row r="191" spans="20:26" x14ac:dyDescent="0.35">
      <c r="T191" s="11"/>
      <c r="Z191" s="11"/>
    </row>
    <row r="192" spans="20:26" x14ac:dyDescent="0.35">
      <c r="T192" s="11"/>
      <c r="Z192" s="11"/>
    </row>
    <row r="193" spans="20:26" x14ac:dyDescent="0.35">
      <c r="T193" s="11"/>
      <c r="Z193" s="11"/>
    </row>
    <row r="194" spans="20:26" x14ac:dyDescent="0.35">
      <c r="T194" s="11"/>
      <c r="Z194" s="11"/>
    </row>
    <row r="195" spans="20:26" x14ac:dyDescent="0.35">
      <c r="T195" s="11"/>
      <c r="Z195" s="11"/>
    </row>
    <row r="196" spans="20:26" x14ac:dyDescent="0.35">
      <c r="T196" s="11"/>
      <c r="Z196" s="11"/>
    </row>
    <row r="197" spans="20:26" x14ac:dyDescent="0.35">
      <c r="T197" s="11"/>
      <c r="Z197" s="11"/>
    </row>
    <row r="198" spans="20:26" x14ac:dyDescent="0.35">
      <c r="T198" s="11"/>
      <c r="Z198" s="11"/>
    </row>
    <row r="199" spans="20:26" x14ac:dyDescent="0.35">
      <c r="T199" s="11"/>
      <c r="Z199" s="11"/>
    </row>
    <row r="200" spans="20:26" x14ac:dyDescent="0.35">
      <c r="T200" s="11"/>
      <c r="Z200" s="11"/>
    </row>
    <row r="201" spans="20:26" x14ac:dyDescent="0.35">
      <c r="T201" s="11"/>
      <c r="Z201" s="11"/>
    </row>
    <row r="202" spans="20:26" x14ac:dyDescent="0.35">
      <c r="T202" s="11"/>
      <c r="Z202" s="11"/>
    </row>
    <row r="203" spans="20:26" x14ac:dyDescent="0.35">
      <c r="T203" s="11"/>
      <c r="Z203" s="11"/>
    </row>
    <row r="204" spans="20:26" x14ac:dyDescent="0.35">
      <c r="T204" s="11"/>
      <c r="Z204" s="11"/>
    </row>
    <row r="205" spans="20:26" x14ac:dyDescent="0.35">
      <c r="T205" s="11"/>
      <c r="Z205" s="11"/>
    </row>
    <row r="206" spans="20:26" x14ac:dyDescent="0.35">
      <c r="T206" s="11"/>
      <c r="Z206" s="11"/>
    </row>
    <row r="207" spans="20:26" x14ac:dyDescent="0.35">
      <c r="T207" s="11"/>
      <c r="Z207" s="11"/>
    </row>
    <row r="208" spans="20:26" x14ac:dyDescent="0.35">
      <c r="T208" s="11"/>
      <c r="Z208" s="11"/>
    </row>
    <row r="209" spans="20:26" x14ac:dyDescent="0.35">
      <c r="T209" s="11"/>
      <c r="Z209" s="11"/>
    </row>
    <row r="210" spans="20:26" x14ac:dyDescent="0.35">
      <c r="T210" s="11"/>
      <c r="Z210" s="11"/>
    </row>
    <row r="211" spans="20:26" x14ac:dyDescent="0.35">
      <c r="T211" s="11"/>
      <c r="Z211" s="11"/>
    </row>
    <row r="212" spans="20:26" x14ac:dyDescent="0.35">
      <c r="T212" s="11"/>
      <c r="Z212" s="11"/>
    </row>
    <row r="213" spans="20:26" x14ac:dyDescent="0.35">
      <c r="T213" s="11"/>
      <c r="Z213" s="11"/>
    </row>
    <row r="214" spans="20:26" x14ac:dyDescent="0.35">
      <c r="T214" s="11"/>
      <c r="Z214" s="11"/>
    </row>
    <row r="215" spans="20:26" x14ac:dyDescent="0.35">
      <c r="T215" s="11"/>
      <c r="Z215" s="11"/>
    </row>
    <row r="216" spans="20:26" x14ac:dyDescent="0.35">
      <c r="T216" s="11"/>
      <c r="Z216" s="11"/>
    </row>
    <row r="217" spans="20:26" x14ac:dyDescent="0.35">
      <c r="T217" s="11"/>
      <c r="Z217" s="11"/>
    </row>
    <row r="218" spans="20:26" x14ac:dyDescent="0.35">
      <c r="T218" s="11"/>
      <c r="Z218" s="11"/>
    </row>
    <row r="219" spans="20:26" x14ac:dyDescent="0.35">
      <c r="T219" s="11"/>
      <c r="Z219" s="11"/>
    </row>
    <row r="220" spans="20:26" x14ac:dyDescent="0.35">
      <c r="T220" s="11"/>
      <c r="Z220" s="11"/>
    </row>
    <row r="221" spans="20:26" x14ac:dyDescent="0.35">
      <c r="T221" s="11"/>
      <c r="Z221" s="11"/>
    </row>
    <row r="222" spans="20:26" x14ac:dyDescent="0.35">
      <c r="T222" s="11"/>
      <c r="Z222" s="11"/>
    </row>
    <row r="223" spans="20:26" x14ac:dyDescent="0.35">
      <c r="T223" s="11"/>
      <c r="Z223" s="11"/>
    </row>
    <row r="224" spans="20:26" x14ac:dyDescent="0.35">
      <c r="T224" s="11"/>
      <c r="Z224" s="11"/>
    </row>
    <row r="225" spans="20:26" x14ac:dyDescent="0.35">
      <c r="T225" s="11"/>
      <c r="Z225" s="11"/>
    </row>
    <row r="226" spans="20:26" x14ac:dyDescent="0.35">
      <c r="T226" s="11"/>
      <c r="Z226" s="11"/>
    </row>
    <row r="227" spans="20:26" x14ac:dyDescent="0.35">
      <c r="T227" s="11"/>
      <c r="Z227" s="11"/>
    </row>
    <row r="228" spans="20:26" x14ac:dyDescent="0.35">
      <c r="T228" s="11"/>
      <c r="Z228" s="11"/>
    </row>
    <row r="229" spans="20:26" x14ac:dyDescent="0.35">
      <c r="T229" s="11"/>
      <c r="Z229" s="11"/>
    </row>
    <row r="230" spans="20:26" x14ac:dyDescent="0.35">
      <c r="T230" s="11"/>
      <c r="Z230" s="11"/>
    </row>
    <row r="231" spans="20:26" x14ac:dyDescent="0.35">
      <c r="T231" s="11"/>
      <c r="Z231" s="11"/>
    </row>
    <row r="232" spans="20:26" x14ac:dyDescent="0.35">
      <c r="T232" s="11"/>
      <c r="Z232" s="11"/>
    </row>
    <row r="233" spans="20:26" x14ac:dyDescent="0.35">
      <c r="T233" s="11"/>
      <c r="Z233" s="11"/>
    </row>
    <row r="234" spans="20:26" x14ac:dyDescent="0.35">
      <c r="T234" s="11"/>
      <c r="Z234" s="11"/>
    </row>
    <row r="235" spans="20:26" x14ac:dyDescent="0.35">
      <c r="T235" s="11"/>
      <c r="Z235" s="11"/>
    </row>
    <row r="236" spans="20:26" x14ac:dyDescent="0.35">
      <c r="T236" s="11"/>
      <c r="Z236" s="11"/>
    </row>
    <row r="237" spans="20:26" x14ac:dyDescent="0.35">
      <c r="T237" s="11"/>
      <c r="Z237" s="11"/>
    </row>
    <row r="238" spans="20:26" x14ac:dyDescent="0.35">
      <c r="T238" s="11"/>
      <c r="Z238" s="11"/>
    </row>
    <row r="239" spans="20:26" x14ac:dyDescent="0.35">
      <c r="T239" s="11"/>
      <c r="Z239" s="11"/>
    </row>
    <row r="240" spans="20:26" x14ac:dyDescent="0.35">
      <c r="T240" s="11"/>
      <c r="Z240" s="11"/>
    </row>
    <row r="241" spans="20:26" x14ac:dyDescent="0.35">
      <c r="T241" s="11"/>
      <c r="Z241" s="11"/>
    </row>
    <row r="242" spans="20:26" x14ac:dyDescent="0.35">
      <c r="T242" s="11"/>
      <c r="Z242" s="11"/>
    </row>
    <row r="243" spans="20:26" x14ac:dyDescent="0.35">
      <c r="T243" s="11"/>
      <c r="Z243" s="11"/>
    </row>
    <row r="244" spans="20:26" x14ac:dyDescent="0.35">
      <c r="T244" s="11"/>
      <c r="Z244" s="11"/>
    </row>
    <row r="245" spans="20:26" x14ac:dyDescent="0.35">
      <c r="T245" s="11"/>
      <c r="Z245" s="11"/>
    </row>
    <row r="246" spans="20:26" x14ac:dyDescent="0.35">
      <c r="T246" s="11"/>
      <c r="Z246" s="11"/>
    </row>
    <row r="247" spans="20:26" x14ac:dyDescent="0.35">
      <c r="T247" s="11"/>
      <c r="Z247" s="11"/>
    </row>
    <row r="248" spans="20:26" x14ac:dyDescent="0.35">
      <c r="T248" s="11"/>
      <c r="Z248" s="11"/>
    </row>
    <row r="249" spans="20:26" x14ac:dyDescent="0.35">
      <c r="T249" s="11"/>
      <c r="Z249" s="11"/>
    </row>
    <row r="250" spans="20:26" x14ac:dyDescent="0.35">
      <c r="T250" s="11"/>
      <c r="Z250" s="11"/>
    </row>
    <row r="251" spans="20:26" x14ac:dyDescent="0.35">
      <c r="T251" s="11"/>
      <c r="Z251" s="11"/>
    </row>
    <row r="252" spans="20:26" x14ac:dyDescent="0.35">
      <c r="T252" s="11"/>
      <c r="Z252" s="11"/>
    </row>
    <row r="253" spans="20:26" x14ac:dyDescent="0.35">
      <c r="T253" s="11"/>
      <c r="Z253" s="11"/>
    </row>
    <row r="254" spans="20:26" x14ac:dyDescent="0.35">
      <c r="T254" s="11"/>
      <c r="Z254" s="11"/>
    </row>
    <row r="255" spans="20:26" x14ac:dyDescent="0.35">
      <c r="T255" s="11"/>
      <c r="Z255" s="11"/>
    </row>
    <row r="256" spans="20:26" x14ac:dyDescent="0.35">
      <c r="T256" s="11"/>
      <c r="Z256" s="11"/>
    </row>
    <row r="257" spans="20:26" x14ac:dyDescent="0.35">
      <c r="T257" s="11"/>
      <c r="Z257" s="11"/>
    </row>
    <row r="258" spans="20:26" x14ac:dyDescent="0.35">
      <c r="T258" s="11"/>
      <c r="Z258" s="11"/>
    </row>
    <row r="259" spans="20:26" x14ac:dyDescent="0.35">
      <c r="T259" s="11"/>
      <c r="Z259" s="11"/>
    </row>
    <row r="260" spans="20:26" x14ac:dyDescent="0.35">
      <c r="T260" s="11"/>
      <c r="Z260" s="11"/>
    </row>
    <row r="261" spans="20:26" x14ac:dyDescent="0.35">
      <c r="T261" s="11"/>
      <c r="Z261" s="11"/>
    </row>
    <row r="262" spans="20:26" x14ac:dyDescent="0.35">
      <c r="T262" s="11"/>
      <c r="Z262" s="11"/>
    </row>
    <row r="263" spans="20:26" x14ac:dyDescent="0.35">
      <c r="T263" s="11"/>
      <c r="Z263" s="11"/>
    </row>
    <row r="264" spans="20:26" x14ac:dyDescent="0.35">
      <c r="T264" s="11"/>
      <c r="Z264" s="11"/>
    </row>
    <row r="265" spans="20:26" x14ac:dyDescent="0.35">
      <c r="T265" s="11"/>
      <c r="Z265" s="11"/>
    </row>
    <row r="266" spans="20:26" x14ac:dyDescent="0.35">
      <c r="T266" s="11"/>
      <c r="Z266" s="11"/>
    </row>
    <row r="267" spans="20:26" x14ac:dyDescent="0.35">
      <c r="T267" s="11"/>
      <c r="Z267" s="11"/>
    </row>
    <row r="268" spans="20:26" x14ac:dyDescent="0.35">
      <c r="T268" s="11"/>
      <c r="Z268" s="11"/>
    </row>
    <row r="269" spans="20:26" x14ac:dyDescent="0.35">
      <c r="T269" s="11"/>
      <c r="Z269" s="11"/>
    </row>
    <row r="270" spans="20:26" x14ac:dyDescent="0.35">
      <c r="T270" s="11"/>
      <c r="Z270" s="11"/>
    </row>
    <row r="271" spans="20:26" x14ac:dyDescent="0.35">
      <c r="T271" s="11"/>
      <c r="Z271" s="11"/>
    </row>
    <row r="272" spans="20:26" x14ac:dyDescent="0.35">
      <c r="T272" s="11"/>
      <c r="Z272" s="11"/>
    </row>
    <row r="273" spans="20:26" x14ac:dyDescent="0.35">
      <c r="T273" s="11"/>
      <c r="Z273" s="11"/>
    </row>
    <row r="274" spans="20:26" x14ac:dyDescent="0.35">
      <c r="T274" s="11"/>
      <c r="Z274" s="11"/>
    </row>
    <row r="275" spans="20:26" x14ac:dyDescent="0.35">
      <c r="T275" s="11"/>
      <c r="Z275" s="11"/>
    </row>
    <row r="276" spans="20:26" x14ac:dyDescent="0.35">
      <c r="T276" s="11"/>
      <c r="Z276" s="11"/>
    </row>
    <row r="277" spans="20:26" x14ac:dyDescent="0.35">
      <c r="T277" s="11"/>
      <c r="Z277" s="11"/>
    </row>
    <row r="278" spans="20:26" x14ac:dyDescent="0.35">
      <c r="T278" s="11"/>
      <c r="Z278" s="11"/>
    </row>
    <row r="279" spans="20:26" x14ac:dyDescent="0.35">
      <c r="T279" s="11"/>
      <c r="Z279" s="11"/>
    </row>
    <row r="280" spans="20:26" x14ac:dyDescent="0.35">
      <c r="T280" s="11"/>
      <c r="Z280" s="11"/>
    </row>
    <row r="281" spans="20:26" x14ac:dyDescent="0.35">
      <c r="T281" s="11"/>
      <c r="Z281" s="11"/>
    </row>
    <row r="282" spans="20:26" x14ac:dyDescent="0.35">
      <c r="T282" s="11"/>
      <c r="Z282" s="11"/>
    </row>
    <row r="283" spans="20:26" x14ac:dyDescent="0.35">
      <c r="T283" s="11"/>
      <c r="Z283" s="11"/>
    </row>
    <row r="284" spans="20:26" x14ac:dyDescent="0.35">
      <c r="T284" s="11"/>
      <c r="Z284" s="11"/>
    </row>
    <row r="285" spans="20:26" x14ac:dyDescent="0.35">
      <c r="T285" s="11"/>
      <c r="Z285" s="11"/>
    </row>
    <row r="286" spans="20:26" x14ac:dyDescent="0.35">
      <c r="T286" s="11"/>
      <c r="Z286" s="11"/>
    </row>
    <row r="287" spans="20:26" x14ac:dyDescent="0.35">
      <c r="T287" s="11"/>
      <c r="Z287" s="11"/>
    </row>
    <row r="288" spans="20:26" x14ac:dyDescent="0.35">
      <c r="T288" s="11"/>
      <c r="Z288" s="11"/>
    </row>
    <row r="289" spans="20:26" x14ac:dyDescent="0.35">
      <c r="T289" s="11"/>
      <c r="Z289" s="11"/>
    </row>
    <row r="290" spans="20:26" x14ac:dyDescent="0.35">
      <c r="T290" s="11"/>
      <c r="Z290" s="11"/>
    </row>
    <row r="291" spans="20:26" x14ac:dyDescent="0.35">
      <c r="T291" s="11"/>
      <c r="Z291" s="11"/>
    </row>
    <row r="292" spans="20:26" x14ac:dyDescent="0.35">
      <c r="T292" s="11"/>
      <c r="Z292" s="11"/>
    </row>
    <row r="293" spans="20:26" x14ac:dyDescent="0.35">
      <c r="T293" s="11"/>
      <c r="Z293" s="11"/>
    </row>
    <row r="294" spans="20:26" x14ac:dyDescent="0.35">
      <c r="T294" s="11"/>
      <c r="Z294" s="11"/>
    </row>
    <row r="295" spans="20:26" x14ac:dyDescent="0.35">
      <c r="T295" s="11"/>
      <c r="Z295" s="11"/>
    </row>
    <row r="296" spans="20:26" x14ac:dyDescent="0.35">
      <c r="T296" s="11"/>
      <c r="Z296" s="11"/>
    </row>
    <row r="297" spans="20:26" x14ac:dyDescent="0.35">
      <c r="T297" s="11"/>
      <c r="Z297" s="11"/>
    </row>
    <row r="298" spans="20:26" x14ac:dyDescent="0.35">
      <c r="T298" s="11"/>
      <c r="Z298" s="11"/>
    </row>
    <row r="299" spans="20:26" x14ac:dyDescent="0.35">
      <c r="T299" s="11"/>
      <c r="Z299" s="11"/>
    </row>
    <row r="300" spans="20:26" x14ac:dyDescent="0.35">
      <c r="T300" s="11"/>
      <c r="Z300" s="11"/>
    </row>
    <row r="301" spans="20:26" x14ac:dyDescent="0.35">
      <c r="T301" s="11"/>
      <c r="Z301" s="11"/>
    </row>
    <row r="302" spans="20:26" x14ac:dyDescent="0.35">
      <c r="T302" s="11"/>
      <c r="Z302" s="11"/>
    </row>
    <row r="303" spans="20:26" x14ac:dyDescent="0.35">
      <c r="T303" s="11"/>
      <c r="Z303" s="11"/>
    </row>
    <row r="304" spans="20:26" x14ac:dyDescent="0.35">
      <c r="T304" s="11"/>
      <c r="Z304" s="11"/>
    </row>
    <row r="305" spans="20:26" x14ac:dyDescent="0.35">
      <c r="T305" s="11"/>
      <c r="Z305" s="11"/>
    </row>
    <row r="306" spans="20:26" x14ac:dyDescent="0.35">
      <c r="T306" s="11"/>
      <c r="Z306" s="11"/>
    </row>
    <row r="307" spans="20:26" x14ac:dyDescent="0.35">
      <c r="T307" s="11"/>
      <c r="Z307" s="11"/>
    </row>
    <row r="308" spans="20:26" x14ac:dyDescent="0.35">
      <c r="T308" s="11"/>
      <c r="Z308" s="11"/>
    </row>
    <row r="309" spans="20:26" x14ac:dyDescent="0.35">
      <c r="T309" s="11"/>
      <c r="Z309" s="11"/>
    </row>
    <row r="310" spans="20:26" x14ac:dyDescent="0.35">
      <c r="T310" s="11"/>
      <c r="Z310" s="11"/>
    </row>
    <row r="311" spans="20:26" x14ac:dyDescent="0.35">
      <c r="T311" s="11"/>
      <c r="Z311" s="11"/>
    </row>
    <row r="312" spans="20:26" x14ac:dyDescent="0.35">
      <c r="T312" s="11"/>
      <c r="Z312" s="11"/>
    </row>
    <row r="313" spans="20:26" x14ac:dyDescent="0.35">
      <c r="T313" s="11"/>
      <c r="Z313" s="11"/>
    </row>
    <row r="314" spans="20:26" x14ac:dyDescent="0.35">
      <c r="T314" s="11"/>
      <c r="Z314" s="11"/>
    </row>
    <row r="315" spans="20:26" x14ac:dyDescent="0.35">
      <c r="T315" s="11"/>
      <c r="Z315" s="11"/>
    </row>
    <row r="316" spans="20:26" x14ac:dyDescent="0.35">
      <c r="T316" s="11"/>
      <c r="Z316" s="11"/>
    </row>
    <row r="317" spans="20:26" x14ac:dyDescent="0.35">
      <c r="T317" s="11"/>
      <c r="Z317" s="11"/>
    </row>
    <row r="318" spans="20:26" x14ac:dyDescent="0.35">
      <c r="T318" s="11"/>
      <c r="Z318" s="11"/>
    </row>
    <row r="319" spans="20:26" x14ac:dyDescent="0.35">
      <c r="T319" s="11"/>
      <c r="Z319" s="11"/>
    </row>
    <row r="320" spans="20:26" x14ac:dyDescent="0.35">
      <c r="T320" s="11"/>
      <c r="Z320" s="11"/>
    </row>
    <row r="321" spans="20:26" x14ac:dyDescent="0.35">
      <c r="T321" s="11"/>
      <c r="Z321" s="11"/>
    </row>
    <row r="322" spans="20:26" x14ac:dyDescent="0.35">
      <c r="T322" s="11"/>
      <c r="Z322" s="11"/>
    </row>
    <row r="323" spans="20:26" x14ac:dyDescent="0.35">
      <c r="T323" s="11"/>
      <c r="Z323" s="11"/>
    </row>
    <row r="324" spans="20:26" x14ac:dyDescent="0.35">
      <c r="T324" s="11"/>
      <c r="Z324" s="11"/>
    </row>
    <row r="325" spans="20:26" x14ac:dyDescent="0.35">
      <c r="T325" s="11"/>
      <c r="Z325" s="11"/>
    </row>
    <row r="326" spans="20:26" x14ac:dyDescent="0.35">
      <c r="T326" s="11"/>
      <c r="Z326" s="11"/>
    </row>
    <row r="327" spans="20:26" x14ac:dyDescent="0.35">
      <c r="T327" s="11"/>
      <c r="Z327" s="11"/>
    </row>
    <row r="328" spans="20:26" x14ac:dyDescent="0.35">
      <c r="T328" s="11"/>
      <c r="Z328" s="11"/>
    </row>
    <row r="329" spans="20:26" x14ac:dyDescent="0.35">
      <c r="T329" s="11"/>
      <c r="Z329" s="11"/>
    </row>
    <row r="330" spans="20:26" x14ac:dyDescent="0.35">
      <c r="T330" s="11"/>
      <c r="Z330" s="11"/>
    </row>
    <row r="331" spans="20:26" x14ac:dyDescent="0.35">
      <c r="T331" s="11"/>
      <c r="Z331" s="11"/>
    </row>
    <row r="332" spans="20:26" x14ac:dyDescent="0.35">
      <c r="T332" s="11"/>
      <c r="Z332" s="11"/>
    </row>
    <row r="333" spans="20:26" x14ac:dyDescent="0.35">
      <c r="T333" s="11"/>
      <c r="Z333" s="11"/>
    </row>
    <row r="334" spans="20:26" x14ac:dyDescent="0.35">
      <c r="T334" s="11"/>
      <c r="Z334" s="11"/>
    </row>
    <row r="335" spans="20:26" x14ac:dyDescent="0.35">
      <c r="T335" s="11"/>
      <c r="Z335" s="11"/>
    </row>
    <row r="336" spans="20:26" x14ac:dyDescent="0.35">
      <c r="T336" s="11"/>
      <c r="Z336" s="11"/>
    </row>
    <row r="337" spans="20:26" x14ac:dyDescent="0.35">
      <c r="T337" s="11"/>
      <c r="Z337" s="11"/>
    </row>
    <row r="338" spans="20:26" x14ac:dyDescent="0.35">
      <c r="T338" s="11"/>
      <c r="Z338" s="11"/>
    </row>
    <row r="339" spans="20:26" x14ac:dyDescent="0.35">
      <c r="T339" s="11"/>
      <c r="Z339" s="11"/>
    </row>
    <row r="340" spans="20:26" x14ac:dyDescent="0.35">
      <c r="T340" s="11"/>
      <c r="Z340" s="11"/>
    </row>
    <row r="341" spans="20:26" x14ac:dyDescent="0.35">
      <c r="T341" s="11"/>
      <c r="Z341" s="11"/>
    </row>
    <row r="342" spans="20:26" x14ac:dyDescent="0.35">
      <c r="T342" s="11"/>
      <c r="Z342" s="11"/>
    </row>
    <row r="343" spans="20:26" x14ac:dyDescent="0.35">
      <c r="T343" s="11"/>
      <c r="Z343" s="11"/>
    </row>
    <row r="344" spans="20:26" x14ac:dyDescent="0.35">
      <c r="T344" s="11"/>
      <c r="Z344" s="11"/>
    </row>
    <row r="345" spans="20:26" x14ac:dyDescent="0.35">
      <c r="T345" s="11"/>
      <c r="Z345" s="11"/>
    </row>
    <row r="346" spans="20:26" x14ac:dyDescent="0.35">
      <c r="T346" s="11"/>
      <c r="Z346" s="11"/>
    </row>
    <row r="347" spans="20:26" x14ac:dyDescent="0.35">
      <c r="T347" s="11"/>
      <c r="Z347" s="11"/>
    </row>
    <row r="348" spans="20:26" x14ac:dyDescent="0.35">
      <c r="T348" s="11"/>
      <c r="Z348" s="11"/>
    </row>
    <row r="349" spans="20:26" x14ac:dyDescent="0.35">
      <c r="T349" s="11"/>
      <c r="Z349" s="11"/>
    </row>
    <row r="350" spans="20:26" x14ac:dyDescent="0.35">
      <c r="T350" s="11"/>
      <c r="Z350" s="11"/>
    </row>
    <row r="351" spans="20:26" x14ac:dyDescent="0.35">
      <c r="T351" s="11"/>
      <c r="Z351" s="11"/>
    </row>
    <row r="352" spans="20:26" x14ac:dyDescent="0.35">
      <c r="T352" s="11"/>
      <c r="Z352" s="11"/>
    </row>
    <row r="353" spans="20:26" x14ac:dyDescent="0.35">
      <c r="T353" s="11"/>
      <c r="Z353" s="11"/>
    </row>
    <row r="354" spans="20:26" x14ac:dyDescent="0.35">
      <c r="T354" s="11"/>
      <c r="Z354" s="11"/>
    </row>
    <row r="355" spans="20:26" x14ac:dyDescent="0.35">
      <c r="T355" s="11"/>
      <c r="Z355" s="11"/>
    </row>
    <row r="356" spans="20:26" x14ac:dyDescent="0.35">
      <c r="T356" s="11"/>
      <c r="Z356" s="11"/>
    </row>
    <row r="357" spans="20:26" x14ac:dyDescent="0.35">
      <c r="T357" s="11"/>
      <c r="Z357" s="11"/>
    </row>
    <row r="358" spans="20:26" x14ac:dyDescent="0.35">
      <c r="T358" s="11"/>
      <c r="Z358" s="11"/>
    </row>
    <row r="359" spans="20:26" x14ac:dyDescent="0.35">
      <c r="T359" s="11"/>
      <c r="Z359" s="11"/>
    </row>
    <row r="360" spans="20:26" x14ac:dyDescent="0.35">
      <c r="T360" s="11"/>
      <c r="Z360" s="11"/>
    </row>
    <row r="361" spans="20:26" x14ac:dyDescent="0.35">
      <c r="T361" s="11"/>
      <c r="Z361" s="11"/>
    </row>
    <row r="362" spans="20:26" x14ac:dyDescent="0.35">
      <c r="T362" s="11"/>
      <c r="Z362" s="11"/>
    </row>
    <row r="363" spans="20:26" x14ac:dyDescent="0.35">
      <c r="T363" s="11"/>
      <c r="Z363" s="11"/>
    </row>
    <row r="364" spans="20:26" x14ac:dyDescent="0.35">
      <c r="T364" s="11"/>
      <c r="Z364" s="11"/>
    </row>
    <row r="365" spans="20:26" x14ac:dyDescent="0.35">
      <c r="T365" s="11"/>
      <c r="Z365" s="11"/>
    </row>
    <row r="366" spans="20:26" x14ac:dyDescent="0.35">
      <c r="T366" s="11"/>
      <c r="Z366" s="11"/>
    </row>
    <row r="367" spans="20:26" x14ac:dyDescent="0.35">
      <c r="T367" s="11"/>
      <c r="Z367" s="11"/>
    </row>
    <row r="368" spans="20:26" x14ac:dyDescent="0.35">
      <c r="T368" s="11"/>
      <c r="Z368" s="11"/>
    </row>
    <row r="369" spans="20:26" x14ac:dyDescent="0.35">
      <c r="T369" s="11"/>
      <c r="Z369" s="11"/>
    </row>
    <row r="370" spans="20:26" x14ac:dyDescent="0.35">
      <c r="T370" s="11"/>
      <c r="Z370" s="11"/>
    </row>
    <row r="371" spans="20:26" x14ac:dyDescent="0.35">
      <c r="T371" s="11"/>
      <c r="Z371" s="11"/>
    </row>
    <row r="372" spans="20:26" x14ac:dyDescent="0.35">
      <c r="T372" s="11"/>
      <c r="Z372" s="11"/>
    </row>
    <row r="373" spans="20:26" x14ac:dyDescent="0.35">
      <c r="T373" s="11"/>
      <c r="Z373" s="11"/>
    </row>
    <row r="374" spans="20:26" x14ac:dyDescent="0.35">
      <c r="T374" s="11"/>
      <c r="Z374" s="11"/>
    </row>
    <row r="375" spans="20:26" x14ac:dyDescent="0.35">
      <c r="T375" s="11"/>
      <c r="Z375" s="11"/>
    </row>
    <row r="376" spans="20:26" x14ac:dyDescent="0.35">
      <c r="T376" s="11"/>
      <c r="Z376" s="11"/>
    </row>
    <row r="377" spans="20:26" x14ac:dyDescent="0.35">
      <c r="T377" s="11"/>
      <c r="Z377" s="11"/>
    </row>
    <row r="378" spans="20:26" x14ac:dyDescent="0.35">
      <c r="T378" s="11"/>
      <c r="Z378" s="11"/>
    </row>
    <row r="379" spans="20:26" x14ac:dyDescent="0.35">
      <c r="T379" s="11"/>
      <c r="Z379" s="11"/>
    </row>
    <row r="380" spans="20:26" x14ac:dyDescent="0.35">
      <c r="T380" s="11"/>
      <c r="Z380" s="11"/>
    </row>
    <row r="381" spans="20:26" x14ac:dyDescent="0.35">
      <c r="T381" s="11"/>
      <c r="Z381" s="11"/>
    </row>
    <row r="382" spans="20:26" x14ac:dyDescent="0.35">
      <c r="T382" s="11"/>
      <c r="Z382" s="11"/>
    </row>
    <row r="383" spans="20:26" x14ac:dyDescent="0.35">
      <c r="T383" s="11"/>
      <c r="Z383" s="11"/>
    </row>
    <row r="384" spans="20:26" x14ac:dyDescent="0.35">
      <c r="T384" s="11"/>
      <c r="Z384" s="11"/>
    </row>
    <row r="385" spans="20:26" x14ac:dyDescent="0.35">
      <c r="T385" s="11"/>
      <c r="Z385" s="11"/>
    </row>
    <row r="386" spans="20:26" x14ac:dyDescent="0.35">
      <c r="T386" s="11"/>
      <c r="Z386" s="11"/>
    </row>
    <row r="387" spans="20:26" x14ac:dyDescent="0.35">
      <c r="T387" s="11"/>
      <c r="Z387" s="11"/>
    </row>
    <row r="388" spans="20:26" x14ac:dyDescent="0.35">
      <c r="T388" s="11"/>
      <c r="Z388" s="11"/>
    </row>
    <row r="389" spans="20:26" x14ac:dyDescent="0.35">
      <c r="T389" s="11"/>
      <c r="Z389" s="11"/>
    </row>
    <row r="390" spans="20:26" x14ac:dyDescent="0.35">
      <c r="T390" s="11"/>
      <c r="Z390" s="11"/>
    </row>
    <row r="391" spans="20:26" x14ac:dyDescent="0.35">
      <c r="T391" s="11"/>
      <c r="Z391" s="11"/>
    </row>
    <row r="392" spans="20:26" x14ac:dyDescent="0.35">
      <c r="T392" s="11"/>
      <c r="Z392" s="11"/>
    </row>
    <row r="393" spans="20:26" x14ac:dyDescent="0.35">
      <c r="T393" s="11"/>
      <c r="Z393" s="11"/>
    </row>
    <row r="394" spans="20:26" x14ac:dyDescent="0.35">
      <c r="T394" s="11"/>
      <c r="Z394" s="11"/>
    </row>
    <row r="395" spans="20:26" x14ac:dyDescent="0.35">
      <c r="T395" s="11"/>
      <c r="Z395" s="11"/>
    </row>
    <row r="396" spans="20:26" x14ac:dyDescent="0.35">
      <c r="T396" s="11"/>
      <c r="Z396" s="11"/>
    </row>
    <row r="397" spans="20:26" x14ac:dyDescent="0.35">
      <c r="T397" s="11"/>
      <c r="Z397" s="11"/>
    </row>
    <row r="398" spans="20:26" x14ac:dyDescent="0.35">
      <c r="T398" s="11"/>
      <c r="Z398" s="11"/>
    </row>
    <row r="399" spans="20:26" x14ac:dyDescent="0.35">
      <c r="T399" s="11"/>
      <c r="Z399" s="11"/>
    </row>
    <row r="400" spans="20:26" x14ac:dyDescent="0.35">
      <c r="T400" s="11"/>
      <c r="Z400" s="11"/>
    </row>
    <row r="401" spans="20:26" x14ac:dyDescent="0.35">
      <c r="T401" s="11"/>
      <c r="Z401" s="11"/>
    </row>
    <row r="402" spans="20:26" x14ac:dyDescent="0.35">
      <c r="T402" s="11"/>
      <c r="Z402" s="11"/>
    </row>
    <row r="403" spans="20:26" x14ac:dyDescent="0.35">
      <c r="T403" s="11"/>
      <c r="Z403" s="11"/>
    </row>
    <row r="404" spans="20:26" x14ac:dyDescent="0.35">
      <c r="T404" s="11"/>
      <c r="Z404" s="11"/>
    </row>
    <row r="405" spans="20:26" x14ac:dyDescent="0.35">
      <c r="T405" s="11"/>
      <c r="Z405" s="11"/>
    </row>
    <row r="406" spans="20:26" x14ac:dyDescent="0.35">
      <c r="T406" s="11"/>
      <c r="Z406" s="11"/>
    </row>
    <row r="407" spans="20:26" x14ac:dyDescent="0.35">
      <c r="T407" s="11"/>
      <c r="Z407" s="11"/>
    </row>
    <row r="408" spans="20:26" x14ac:dyDescent="0.35">
      <c r="T408" s="11"/>
      <c r="Z408" s="11"/>
    </row>
    <row r="409" spans="20:26" x14ac:dyDescent="0.35">
      <c r="T409" s="11"/>
      <c r="Z409" s="11"/>
    </row>
    <row r="410" spans="20:26" x14ac:dyDescent="0.35">
      <c r="T410" s="11"/>
      <c r="Z410" s="11"/>
    </row>
    <row r="411" spans="20:26" x14ac:dyDescent="0.35">
      <c r="T411" s="11"/>
      <c r="Z411" s="11"/>
    </row>
    <row r="412" spans="20:26" x14ac:dyDescent="0.35">
      <c r="T412" s="11"/>
      <c r="Z412" s="11"/>
    </row>
    <row r="413" spans="20:26" x14ac:dyDescent="0.35">
      <c r="T413" s="11"/>
      <c r="Z413" s="11"/>
    </row>
    <row r="414" spans="20:26" x14ac:dyDescent="0.35">
      <c r="T414" s="11"/>
      <c r="Z414" s="11"/>
    </row>
    <row r="415" spans="20:26" x14ac:dyDescent="0.35">
      <c r="T415" s="11"/>
      <c r="Z415" s="11"/>
    </row>
    <row r="416" spans="20:26" x14ac:dyDescent="0.35">
      <c r="T416" s="11"/>
      <c r="Z416" s="11"/>
    </row>
    <row r="417" spans="20:26" x14ac:dyDescent="0.35">
      <c r="T417" s="11"/>
      <c r="Z417" s="11"/>
    </row>
    <row r="418" spans="20:26" x14ac:dyDescent="0.35">
      <c r="T418" s="11"/>
      <c r="Z418" s="11"/>
    </row>
    <row r="419" spans="20:26" x14ac:dyDescent="0.35">
      <c r="T419" s="11"/>
      <c r="Z419" s="11"/>
    </row>
    <row r="420" spans="20:26" x14ac:dyDescent="0.35">
      <c r="T420" s="11"/>
      <c r="Z420" s="11"/>
    </row>
    <row r="421" spans="20:26" x14ac:dyDescent="0.35">
      <c r="T421" s="11"/>
      <c r="Z421" s="11"/>
    </row>
    <row r="422" spans="20:26" x14ac:dyDescent="0.35">
      <c r="T422" s="11"/>
      <c r="Z422" s="11"/>
    </row>
    <row r="423" spans="20:26" x14ac:dyDescent="0.35">
      <c r="T423" s="11"/>
      <c r="Z423" s="11"/>
    </row>
    <row r="424" spans="20:26" x14ac:dyDescent="0.35">
      <c r="T424" s="11"/>
      <c r="Z424" s="11"/>
    </row>
    <row r="425" spans="20:26" x14ac:dyDescent="0.35">
      <c r="T425" s="11"/>
      <c r="Z425" s="11"/>
    </row>
    <row r="426" spans="20:26" x14ac:dyDescent="0.35">
      <c r="T426" s="11"/>
      <c r="Z426" s="11"/>
    </row>
    <row r="427" spans="20:26" x14ac:dyDescent="0.35">
      <c r="T427" s="11"/>
      <c r="Z427" s="11"/>
    </row>
    <row r="428" spans="20:26" x14ac:dyDescent="0.35">
      <c r="T428" s="11"/>
      <c r="Z428" s="11"/>
    </row>
    <row r="429" spans="20:26" x14ac:dyDescent="0.35">
      <c r="T429" s="11"/>
      <c r="Z429" s="11"/>
    </row>
    <row r="430" spans="20:26" x14ac:dyDescent="0.35">
      <c r="T430" s="11"/>
      <c r="Z430" s="11"/>
    </row>
    <row r="431" spans="20:26" x14ac:dyDescent="0.35">
      <c r="T431" s="11"/>
      <c r="Z431" s="11"/>
    </row>
    <row r="432" spans="20:26" x14ac:dyDescent="0.35">
      <c r="T432" s="11"/>
      <c r="Z432" s="11"/>
    </row>
    <row r="433" spans="20:26" x14ac:dyDescent="0.35">
      <c r="T433" s="11"/>
      <c r="Z433" s="11"/>
    </row>
    <row r="434" spans="20:26" x14ac:dyDescent="0.35">
      <c r="T434" s="11"/>
      <c r="Z434" s="11"/>
    </row>
    <row r="435" spans="20:26" x14ac:dyDescent="0.35">
      <c r="T435" s="11"/>
      <c r="Z435" s="11"/>
    </row>
    <row r="436" spans="20:26" x14ac:dyDescent="0.35">
      <c r="T436" s="11"/>
      <c r="Z436" s="11"/>
    </row>
    <row r="437" spans="20:26" x14ac:dyDescent="0.35">
      <c r="T437" s="11"/>
      <c r="Z437" s="11"/>
    </row>
    <row r="438" spans="20:26" x14ac:dyDescent="0.35">
      <c r="T438" s="11"/>
      <c r="Z438" s="11"/>
    </row>
    <row r="439" spans="20:26" x14ac:dyDescent="0.35">
      <c r="T439" s="11"/>
      <c r="Z439" s="11"/>
    </row>
    <row r="440" spans="20:26" x14ac:dyDescent="0.35">
      <c r="T440" s="11"/>
      <c r="Z440" s="11"/>
    </row>
    <row r="441" spans="20:26" x14ac:dyDescent="0.35">
      <c r="T441" s="11"/>
      <c r="Z441" s="11"/>
    </row>
    <row r="442" spans="20:26" x14ac:dyDescent="0.35">
      <c r="T442" s="11"/>
      <c r="Z442" s="11"/>
    </row>
    <row r="443" spans="20:26" x14ac:dyDescent="0.35">
      <c r="T443" s="11"/>
      <c r="Z443" s="11"/>
    </row>
    <row r="444" spans="20:26" x14ac:dyDescent="0.35">
      <c r="T444" s="11"/>
      <c r="Z444" s="11"/>
    </row>
    <row r="445" spans="20:26" x14ac:dyDescent="0.35">
      <c r="T445" s="11"/>
      <c r="Z445" s="11"/>
    </row>
    <row r="446" spans="20:26" x14ac:dyDescent="0.35">
      <c r="T446" s="11"/>
      <c r="Z446" s="11"/>
    </row>
    <row r="447" spans="20:26" x14ac:dyDescent="0.35">
      <c r="T447" s="11"/>
      <c r="Z447" s="11"/>
    </row>
    <row r="448" spans="20:26" x14ac:dyDescent="0.35">
      <c r="T448" s="11"/>
      <c r="Z448" s="11"/>
    </row>
    <row r="449" spans="20:26" x14ac:dyDescent="0.35">
      <c r="T449" s="11"/>
      <c r="Z449" s="11"/>
    </row>
    <row r="450" spans="20:26" x14ac:dyDescent="0.35">
      <c r="T450" s="11"/>
      <c r="Z450" s="11"/>
    </row>
    <row r="451" spans="20:26" x14ac:dyDescent="0.35">
      <c r="T451" s="11"/>
      <c r="Z451" s="11"/>
    </row>
    <row r="452" spans="20:26" x14ac:dyDescent="0.35">
      <c r="T452" s="11"/>
      <c r="Z452" s="11"/>
    </row>
    <row r="453" spans="20:26" x14ac:dyDescent="0.35">
      <c r="T453" s="11"/>
      <c r="Z453" s="11"/>
    </row>
    <row r="454" spans="20:26" x14ac:dyDescent="0.35">
      <c r="T454" s="11"/>
      <c r="Z454" s="11"/>
    </row>
    <row r="455" spans="20:26" x14ac:dyDescent="0.35">
      <c r="T455" s="11"/>
      <c r="Z455" s="11"/>
    </row>
    <row r="456" spans="20:26" x14ac:dyDescent="0.35">
      <c r="T456" s="11"/>
      <c r="Z456" s="11"/>
    </row>
    <row r="457" spans="20:26" x14ac:dyDescent="0.35">
      <c r="T457" s="11"/>
      <c r="Z457" s="11"/>
    </row>
    <row r="458" spans="20:26" x14ac:dyDescent="0.35">
      <c r="T458" s="11"/>
      <c r="Z458" s="11"/>
    </row>
    <row r="459" spans="20:26" x14ac:dyDescent="0.35">
      <c r="T459" s="11"/>
      <c r="Z459" s="11"/>
    </row>
    <row r="460" spans="20:26" x14ac:dyDescent="0.35">
      <c r="T460" s="11"/>
      <c r="Z460" s="11"/>
    </row>
    <row r="461" spans="20:26" x14ac:dyDescent="0.35">
      <c r="T461" s="11"/>
      <c r="Z461" s="11"/>
    </row>
    <row r="462" spans="20:26" x14ac:dyDescent="0.35">
      <c r="T462" s="11"/>
      <c r="Z462" s="11"/>
    </row>
    <row r="463" spans="20:26" x14ac:dyDescent="0.35">
      <c r="T463" s="11"/>
      <c r="Z463" s="11"/>
    </row>
    <row r="464" spans="20:26" x14ac:dyDescent="0.35">
      <c r="T464" s="11"/>
      <c r="Z464" s="11"/>
    </row>
    <row r="465" spans="20:26" x14ac:dyDescent="0.35">
      <c r="T465" s="11"/>
      <c r="Z465" s="11"/>
    </row>
    <row r="466" spans="20:26" x14ac:dyDescent="0.35">
      <c r="T466" s="11"/>
      <c r="Z466" s="11"/>
    </row>
    <row r="467" spans="20:26" x14ac:dyDescent="0.35">
      <c r="T467" s="11"/>
      <c r="Z467" s="11"/>
    </row>
    <row r="468" spans="20:26" x14ac:dyDescent="0.35">
      <c r="T468" s="11"/>
      <c r="Z468" s="11"/>
    </row>
    <row r="469" spans="20:26" x14ac:dyDescent="0.35">
      <c r="T469" s="11"/>
      <c r="Z469" s="11"/>
    </row>
    <row r="470" spans="20:26" x14ac:dyDescent="0.35">
      <c r="T470" s="11"/>
      <c r="Z470" s="11"/>
    </row>
    <row r="471" spans="20:26" x14ac:dyDescent="0.35">
      <c r="T471" s="11"/>
      <c r="Z471" s="11"/>
    </row>
    <row r="472" spans="20:26" x14ac:dyDescent="0.35">
      <c r="T472" s="11"/>
      <c r="Z472" s="11"/>
    </row>
    <row r="473" spans="20:26" x14ac:dyDescent="0.35">
      <c r="T473" s="11"/>
      <c r="Z473" s="11"/>
    </row>
    <row r="474" spans="20:26" x14ac:dyDescent="0.35">
      <c r="T474" s="11"/>
      <c r="Z474" s="11"/>
    </row>
    <row r="475" spans="20:26" x14ac:dyDescent="0.35">
      <c r="T475" s="11"/>
      <c r="Z475" s="11"/>
    </row>
    <row r="476" spans="20:26" x14ac:dyDescent="0.35">
      <c r="T476" s="11"/>
      <c r="Z476" s="11"/>
    </row>
    <row r="477" spans="20:26" x14ac:dyDescent="0.35">
      <c r="T477" s="11"/>
      <c r="Z477" s="11"/>
    </row>
    <row r="478" spans="20:26" x14ac:dyDescent="0.35">
      <c r="T478" s="11"/>
      <c r="Z478" s="11"/>
    </row>
    <row r="479" spans="20:26" x14ac:dyDescent="0.35">
      <c r="T479" s="11"/>
      <c r="Z479" s="11"/>
    </row>
    <row r="480" spans="20:26" x14ac:dyDescent="0.35">
      <c r="T480" s="11"/>
      <c r="Z480" s="11"/>
    </row>
    <row r="481" spans="20:26" x14ac:dyDescent="0.35">
      <c r="T481" s="11"/>
      <c r="Z481" s="11"/>
    </row>
    <row r="482" spans="20:26" x14ac:dyDescent="0.35">
      <c r="T482" s="11"/>
      <c r="Z482" s="11"/>
    </row>
    <row r="483" spans="20:26" x14ac:dyDescent="0.35">
      <c r="T483" s="11"/>
      <c r="Z483" s="11"/>
    </row>
    <row r="484" spans="20:26" x14ac:dyDescent="0.35">
      <c r="T484" s="11"/>
      <c r="Z484" s="11"/>
    </row>
    <row r="485" spans="20:26" x14ac:dyDescent="0.35">
      <c r="T485" s="11"/>
      <c r="Z485" s="11"/>
    </row>
    <row r="486" spans="20:26" x14ac:dyDescent="0.35">
      <c r="T486" s="11"/>
      <c r="Z486" s="11"/>
    </row>
    <row r="487" spans="20:26" x14ac:dyDescent="0.35">
      <c r="T487" s="11"/>
      <c r="Z487" s="11"/>
    </row>
    <row r="488" spans="20:26" x14ac:dyDescent="0.35">
      <c r="T488" s="11"/>
      <c r="Z488" s="11"/>
    </row>
    <row r="489" spans="20:26" x14ac:dyDescent="0.35">
      <c r="T489" s="11"/>
      <c r="Z489" s="11"/>
    </row>
    <row r="490" spans="20:26" x14ac:dyDescent="0.35">
      <c r="T490" s="11"/>
      <c r="Z490" s="11"/>
    </row>
    <row r="491" spans="20:26" x14ac:dyDescent="0.35">
      <c r="T491" s="11"/>
      <c r="Z491" s="11"/>
    </row>
    <row r="492" spans="20:26" x14ac:dyDescent="0.35">
      <c r="T492" s="11"/>
      <c r="Z492" s="11"/>
    </row>
    <row r="493" spans="20:26" x14ac:dyDescent="0.35">
      <c r="T493" s="11"/>
      <c r="Z493" s="11"/>
    </row>
    <row r="494" spans="20:26" x14ac:dyDescent="0.35">
      <c r="T494" s="11"/>
      <c r="Z494" s="11"/>
    </row>
    <row r="495" spans="20:26" x14ac:dyDescent="0.35">
      <c r="T495" s="11"/>
      <c r="Z495" s="11"/>
    </row>
    <row r="496" spans="20:26" x14ac:dyDescent="0.35">
      <c r="T496" s="11"/>
      <c r="Z496" s="11"/>
    </row>
    <row r="497" spans="20:26" x14ac:dyDescent="0.35">
      <c r="T497" s="11"/>
      <c r="Z497" s="11"/>
    </row>
    <row r="498" spans="20:26" x14ac:dyDescent="0.35">
      <c r="T498" s="11"/>
      <c r="Z498" s="11"/>
    </row>
    <row r="499" spans="20:26" x14ac:dyDescent="0.35">
      <c r="T499" s="11"/>
      <c r="Z499" s="11"/>
    </row>
    <row r="500" spans="20:26" x14ac:dyDescent="0.35">
      <c r="T500" s="11"/>
      <c r="Z500" s="11"/>
    </row>
    <row r="501" spans="20:26" x14ac:dyDescent="0.35">
      <c r="T501" s="11"/>
      <c r="Z501" s="11"/>
    </row>
    <row r="502" spans="20:26" x14ac:dyDescent="0.35">
      <c r="T502" s="11"/>
      <c r="Z502" s="11"/>
    </row>
    <row r="503" spans="20:26" x14ac:dyDescent="0.35">
      <c r="T503" s="11"/>
      <c r="Z503" s="11"/>
    </row>
    <row r="504" spans="20:26" x14ac:dyDescent="0.35">
      <c r="T504" s="11"/>
      <c r="Z504" s="11"/>
    </row>
    <row r="505" spans="20:26" x14ac:dyDescent="0.35">
      <c r="T505" s="11"/>
      <c r="Z505" s="11"/>
    </row>
    <row r="506" spans="20:26" x14ac:dyDescent="0.35">
      <c r="T506" s="11"/>
      <c r="Z506" s="11"/>
    </row>
    <row r="507" spans="20:26" x14ac:dyDescent="0.35">
      <c r="T507" s="11"/>
      <c r="Z507" s="11"/>
    </row>
    <row r="508" spans="20:26" x14ac:dyDescent="0.35">
      <c r="T508" s="11"/>
      <c r="Z508" s="11"/>
    </row>
    <row r="509" spans="20:26" x14ac:dyDescent="0.35">
      <c r="T509" s="11"/>
      <c r="Z509" s="11"/>
    </row>
    <row r="510" spans="20:26" x14ac:dyDescent="0.35">
      <c r="T510" s="11"/>
      <c r="Z510" s="11"/>
    </row>
    <row r="511" spans="20:26" x14ac:dyDescent="0.35">
      <c r="T511" s="11"/>
      <c r="Z511" s="11"/>
    </row>
    <row r="512" spans="20:26" x14ac:dyDescent="0.35">
      <c r="T512" s="11"/>
      <c r="Z512" s="11"/>
    </row>
    <row r="513" spans="20:26" x14ac:dyDescent="0.35">
      <c r="T513" s="11"/>
      <c r="Z513" s="11"/>
    </row>
    <row r="514" spans="20:26" x14ac:dyDescent="0.35">
      <c r="T514" s="11"/>
      <c r="Z514" s="11"/>
    </row>
    <row r="515" spans="20:26" x14ac:dyDescent="0.35">
      <c r="T515" s="11"/>
      <c r="Z515" s="11"/>
    </row>
    <row r="516" spans="20:26" x14ac:dyDescent="0.35">
      <c r="T516" s="11"/>
      <c r="Z516" s="11"/>
    </row>
    <row r="517" spans="20:26" x14ac:dyDescent="0.35">
      <c r="T517" s="11"/>
      <c r="Z517" s="11"/>
    </row>
    <row r="518" spans="20:26" x14ac:dyDescent="0.35">
      <c r="T518" s="11"/>
      <c r="Z518" s="11"/>
    </row>
    <row r="519" spans="20:26" x14ac:dyDescent="0.35">
      <c r="T519" s="11"/>
      <c r="Z519" s="11"/>
    </row>
    <row r="520" spans="20:26" x14ac:dyDescent="0.35">
      <c r="T520" s="11"/>
      <c r="Z520" s="11"/>
    </row>
    <row r="521" spans="20:26" x14ac:dyDescent="0.35">
      <c r="T521" s="11"/>
      <c r="Z521" s="11"/>
    </row>
    <row r="522" spans="20:26" x14ac:dyDescent="0.35">
      <c r="T522" s="11"/>
      <c r="Z522" s="11"/>
    </row>
    <row r="523" spans="20:26" x14ac:dyDescent="0.35">
      <c r="T523" s="11"/>
      <c r="Z523" s="11"/>
    </row>
    <row r="524" spans="20:26" x14ac:dyDescent="0.35">
      <c r="T524" s="11"/>
      <c r="Z524" s="11"/>
    </row>
    <row r="525" spans="20:26" x14ac:dyDescent="0.35">
      <c r="T525" s="11"/>
      <c r="Z525" s="11"/>
    </row>
    <row r="526" spans="20:26" x14ac:dyDescent="0.35">
      <c r="T526" s="11"/>
      <c r="Z526" s="11"/>
    </row>
    <row r="527" spans="20:26" x14ac:dyDescent="0.35">
      <c r="T527" s="11"/>
      <c r="Z527" s="11"/>
    </row>
    <row r="528" spans="20:26" x14ac:dyDescent="0.35">
      <c r="T528" s="11"/>
      <c r="Z528" s="11"/>
    </row>
    <row r="529" spans="20:26" x14ac:dyDescent="0.35">
      <c r="T529" s="11"/>
      <c r="Z529" s="11"/>
    </row>
    <row r="530" spans="20:26" x14ac:dyDescent="0.35">
      <c r="T530" s="11"/>
      <c r="Z530" s="11"/>
    </row>
    <row r="531" spans="20:26" x14ac:dyDescent="0.35">
      <c r="T531" s="11"/>
      <c r="Z531" s="11"/>
    </row>
    <row r="532" spans="20:26" x14ac:dyDescent="0.35">
      <c r="T532" s="11"/>
      <c r="Z532" s="11"/>
    </row>
    <row r="533" spans="20:26" x14ac:dyDescent="0.35">
      <c r="T533" s="11"/>
      <c r="Z533" s="11"/>
    </row>
    <row r="534" spans="20:26" x14ac:dyDescent="0.35">
      <c r="T534" s="11"/>
      <c r="Z534" s="11"/>
    </row>
    <row r="535" spans="20:26" x14ac:dyDescent="0.35">
      <c r="T535" s="11"/>
      <c r="Z535" s="11"/>
    </row>
    <row r="536" spans="20:26" x14ac:dyDescent="0.35">
      <c r="T536" s="11"/>
      <c r="Z536" s="11"/>
    </row>
    <row r="537" spans="20:26" x14ac:dyDescent="0.35">
      <c r="T537" s="11"/>
      <c r="Z537" s="11"/>
    </row>
    <row r="538" spans="20:26" x14ac:dyDescent="0.35">
      <c r="T538" s="11"/>
      <c r="Z538" s="11"/>
    </row>
    <row r="539" spans="20:26" x14ac:dyDescent="0.35">
      <c r="T539" s="11"/>
      <c r="Z539" s="11"/>
    </row>
    <row r="540" spans="20:26" x14ac:dyDescent="0.35">
      <c r="T540" s="11"/>
      <c r="Z540" s="11"/>
    </row>
    <row r="541" spans="20:26" x14ac:dyDescent="0.35">
      <c r="T541" s="11"/>
      <c r="Z541" s="11"/>
    </row>
    <row r="542" spans="20:26" x14ac:dyDescent="0.35">
      <c r="T542" s="11"/>
      <c r="Z542" s="11"/>
    </row>
    <row r="543" spans="20:26" x14ac:dyDescent="0.35">
      <c r="T543" s="11"/>
      <c r="Z543" s="11"/>
    </row>
    <row r="544" spans="20:26" x14ac:dyDescent="0.35">
      <c r="T544" s="11"/>
      <c r="Z544" s="11"/>
    </row>
    <row r="545" spans="20:26" x14ac:dyDescent="0.35">
      <c r="T545" s="11"/>
      <c r="Z545" s="11"/>
    </row>
    <row r="546" spans="20:26" x14ac:dyDescent="0.35">
      <c r="T546" s="11"/>
      <c r="Z546" s="11"/>
    </row>
    <row r="547" spans="20:26" x14ac:dyDescent="0.35">
      <c r="T547" s="11"/>
      <c r="Z547" s="11"/>
    </row>
    <row r="548" spans="20:26" x14ac:dyDescent="0.35">
      <c r="T548" s="11"/>
      <c r="Z548" s="11"/>
    </row>
    <row r="549" spans="20:26" x14ac:dyDescent="0.35">
      <c r="T549" s="11"/>
      <c r="Z549" s="11"/>
    </row>
    <row r="550" spans="20:26" x14ac:dyDescent="0.35">
      <c r="T550" s="11"/>
      <c r="Z550" s="11"/>
    </row>
    <row r="551" spans="20:26" x14ac:dyDescent="0.35">
      <c r="T551" s="11"/>
      <c r="Z551" s="11"/>
    </row>
    <row r="552" spans="20:26" x14ac:dyDescent="0.35">
      <c r="T552" s="11"/>
      <c r="Z552" s="11"/>
    </row>
    <row r="553" spans="20:26" x14ac:dyDescent="0.35">
      <c r="T553" s="11"/>
      <c r="Z553" s="11"/>
    </row>
    <row r="554" spans="20:26" x14ac:dyDescent="0.35">
      <c r="T554" s="11"/>
      <c r="Z554" s="11"/>
    </row>
    <row r="555" spans="20:26" x14ac:dyDescent="0.35">
      <c r="T555" s="11"/>
      <c r="Z555" s="11"/>
    </row>
    <row r="556" spans="20:26" x14ac:dyDescent="0.35">
      <c r="T556" s="11"/>
      <c r="Z556" s="11"/>
    </row>
    <row r="557" spans="20:26" x14ac:dyDescent="0.35">
      <c r="T557" s="11"/>
      <c r="Z557" s="11"/>
    </row>
    <row r="558" spans="20:26" x14ac:dyDescent="0.35">
      <c r="T558" s="11"/>
      <c r="Z558" s="11"/>
    </row>
    <row r="559" spans="20:26" x14ac:dyDescent="0.35">
      <c r="T559" s="11"/>
      <c r="Z559" s="11"/>
    </row>
    <row r="560" spans="20:26" x14ac:dyDescent="0.35">
      <c r="T560" s="11"/>
      <c r="Z560" s="11"/>
    </row>
    <row r="561" spans="20:26" x14ac:dyDescent="0.35">
      <c r="T561" s="11"/>
      <c r="Z561" s="11"/>
    </row>
    <row r="562" spans="20:26" x14ac:dyDescent="0.35">
      <c r="T562" s="11"/>
      <c r="Z562" s="11"/>
    </row>
    <row r="563" spans="20:26" x14ac:dyDescent="0.35">
      <c r="T563" s="11"/>
      <c r="Z563" s="11"/>
    </row>
    <row r="564" spans="20:26" x14ac:dyDescent="0.35">
      <c r="T564" s="11"/>
      <c r="Z564" s="11"/>
    </row>
    <row r="565" spans="20:26" x14ac:dyDescent="0.35">
      <c r="T565" s="11"/>
      <c r="Z565" s="11"/>
    </row>
    <row r="566" spans="20:26" x14ac:dyDescent="0.35">
      <c r="T566" s="11"/>
      <c r="Z566" s="11"/>
    </row>
    <row r="567" spans="20:26" x14ac:dyDescent="0.35">
      <c r="T567" s="11"/>
      <c r="Z567" s="11"/>
    </row>
    <row r="568" spans="20:26" x14ac:dyDescent="0.35">
      <c r="T568" s="11"/>
      <c r="Z568" s="11"/>
    </row>
    <row r="569" spans="20:26" x14ac:dyDescent="0.35">
      <c r="T569" s="11"/>
      <c r="Z569" s="11"/>
    </row>
    <row r="570" spans="20:26" x14ac:dyDescent="0.35">
      <c r="T570" s="11"/>
      <c r="Z570" s="11"/>
    </row>
    <row r="571" spans="20:26" x14ac:dyDescent="0.35">
      <c r="T571" s="11"/>
      <c r="Z571" s="11"/>
    </row>
    <row r="572" spans="20:26" x14ac:dyDescent="0.35">
      <c r="T572" s="11"/>
      <c r="Z572" s="11"/>
    </row>
    <row r="573" spans="20:26" x14ac:dyDescent="0.35">
      <c r="T573" s="11"/>
      <c r="Z573" s="11"/>
    </row>
    <row r="574" spans="20:26" x14ac:dyDescent="0.35">
      <c r="T574" s="11"/>
      <c r="Z574" s="11"/>
    </row>
    <row r="575" spans="20:26" x14ac:dyDescent="0.35">
      <c r="T575" s="11"/>
      <c r="Z575" s="11"/>
    </row>
    <row r="576" spans="20:26" x14ac:dyDescent="0.35">
      <c r="T576" s="11"/>
      <c r="Z576" s="11"/>
    </row>
    <row r="577" spans="20:26" x14ac:dyDescent="0.35">
      <c r="T577" s="11"/>
      <c r="Z577" s="11"/>
    </row>
    <row r="578" spans="20:26" x14ac:dyDescent="0.35">
      <c r="T578" s="11"/>
      <c r="Z578" s="11"/>
    </row>
    <row r="579" spans="20:26" x14ac:dyDescent="0.35">
      <c r="T579" s="11"/>
      <c r="Z579" s="11"/>
    </row>
    <row r="580" spans="20:26" x14ac:dyDescent="0.35">
      <c r="T580" s="11"/>
      <c r="Z580" s="11"/>
    </row>
    <row r="581" spans="20:26" x14ac:dyDescent="0.35">
      <c r="T581" s="11"/>
      <c r="Z581" s="11"/>
    </row>
    <row r="582" spans="20:26" x14ac:dyDescent="0.35">
      <c r="T582" s="11"/>
      <c r="Z582" s="11"/>
    </row>
    <row r="583" spans="20:26" x14ac:dyDescent="0.35">
      <c r="T583" s="11"/>
      <c r="Z583" s="11"/>
    </row>
    <row r="584" spans="20:26" x14ac:dyDescent="0.35">
      <c r="T584" s="11"/>
      <c r="Z584" s="11"/>
    </row>
    <row r="585" spans="20:26" x14ac:dyDescent="0.35">
      <c r="T585" s="11"/>
      <c r="Z585" s="11"/>
    </row>
    <row r="586" spans="20:26" x14ac:dyDescent="0.35">
      <c r="T586" s="11"/>
      <c r="Z586" s="11"/>
    </row>
    <row r="587" spans="20:26" x14ac:dyDescent="0.35">
      <c r="T587" s="11"/>
      <c r="Z587" s="11"/>
    </row>
    <row r="588" spans="20:26" x14ac:dyDescent="0.35">
      <c r="T588" s="11"/>
      <c r="Z588" s="11"/>
    </row>
    <row r="589" spans="20:26" x14ac:dyDescent="0.35">
      <c r="T589" s="11"/>
      <c r="Z589" s="11"/>
    </row>
    <row r="590" spans="20:26" x14ac:dyDescent="0.35">
      <c r="T590" s="11"/>
      <c r="Z590" s="11"/>
    </row>
    <row r="591" spans="20:26" x14ac:dyDescent="0.35">
      <c r="T591" s="11"/>
      <c r="Z591" s="11"/>
    </row>
    <row r="592" spans="20:26" x14ac:dyDescent="0.35">
      <c r="T592" s="11"/>
      <c r="Z592" s="11"/>
    </row>
    <row r="593" spans="20:26" x14ac:dyDescent="0.35">
      <c r="T593" s="11"/>
      <c r="Z593" s="11"/>
    </row>
    <row r="594" spans="20:26" x14ac:dyDescent="0.35">
      <c r="T594" s="11"/>
      <c r="Z594" s="11"/>
    </row>
    <row r="595" spans="20:26" x14ac:dyDescent="0.35">
      <c r="T595" s="11"/>
      <c r="Z595" s="11"/>
    </row>
    <row r="596" spans="20:26" x14ac:dyDescent="0.35">
      <c r="T596" s="11"/>
      <c r="Z596" s="11"/>
    </row>
    <row r="597" spans="20:26" x14ac:dyDescent="0.35">
      <c r="T597" s="11"/>
      <c r="Z597" s="11"/>
    </row>
    <row r="598" spans="20:26" x14ac:dyDescent="0.35">
      <c r="T598" s="11"/>
      <c r="Z598" s="11"/>
    </row>
    <row r="599" spans="20:26" x14ac:dyDescent="0.35">
      <c r="T599" s="11"/>
      <c r="Z599" s="11"/>
    </row>
    <row r="600" spans="20:26" x14ac:dyDescent="0.35">
      <c r="T600" s="11"/>
      <c r="Z600" s="11"/>
    </row>
    <row r="601" spans="20:26" x14ac:dyDescent="0.35">
      <c r="T601" s="11"/>
      <c r="Z601" s="11"/>
    </row>
    <row r="602" spans="20:26" x14ac:dyDescent="0.35">
      <c r="T602" s="11"/>
      <c r="Z602" s="11"/>
    </row>
    <row r="603" spans="20:26" x14ac:dyDescent="0.35">
      <c r="T603" s="11"/>
      <c r="Z603" s="11"/>
    </row>
    <row r="604" spans="20:26" x14ac:dyDescent="0.35">
      <c r="T604" s="11"/>
      <c r="Z604" s="11"/>
    </row>
    <row r="605" spans="20:26" x14ac:dyDescent="0.35">
      <c r="T605" s="11"/>
      <c r="Z605" s="11"/>
    </row>
    <row r="606" spans="20:26" x14ac:dyDescent="0.35">
      <c r="T606" s="11"/>
      <c r="Z606" s="11"/>
    </row>
    <row r="607" spans="20:26" x14ac:dyDescent="0.35">
      <c r="T607" s="11"/>
      <c r="Z607" s="11"/>
    </row>
    <row r="608" spans="20:26" x14ac:dyDescent="0.35">
      <c r="T608" s="11"/>
      <c r="Z608" s="11"/>
    </row>
    <row r="609" spans="20:26" x14ac:dyDescent="0.35">
      <c r="T609" s="11"/>
      <c r="Z609" s="11"/>
    </row>
    <row r="610" spans="20:26" x14ac:dyDescent="0.35">
      <c r="T610" s="11"/>
      <c r="Z610" s="11"/>
    </row>
    <row r="611" spans="20:26" x14ac:dyDescent="0.35">
      <c r="T611" s="11"/>
      <c r="Z611" s="11"/>
    </row>
    <row r="612" spans="20:26" x14ac:dyDescent="0.35">
      <c r="T612" s="11"/>
      <c r="Z612" s="11"/>
    </row>
    <row r="613" spans="20:26" x14ac:dyDescent="0.35">
      <c r="T613" s="11"/>
      <c r="Z613" s="11"/>
    </row>
    <row r="614" spans="20:26" x14ac:dyDescent="0.35">
      <c r="T614" s="11"/>
      <c r="Z614" s="11"/>
    </row>
    <row r="615" spans="20:26" x14ac:dyDescent="0.35">
      <c r="T615" s="11"/>
      <c r="Z615" s="11"/>
    </row>
    <row r="616" spans="20:26" x14ac:dyDescent="0.35">
      <c r="T616" s="11"/>
      <c r="Z616" s="11"/>
    </row>
    <row r="617" spans="20:26" x14ac:dyDescent="0.35">
      <c r="T617" s="11"/>
      <c r="Z617" s="11"/>
    </row>
    <row r="618" spans="20:26" x14ac:dyDescent="0.35">
      <c r="T618" s="11"/>
      <c r="Z618" s="11"/>
    </row>
    <row r="619" spans="20:26" x14ac:dyDescent="0.35">
      <c r="T619" s="11"/>
      <c r="Z619" s="11"/>
    </row>
    <row r="620" spans="20:26" x14ac:dyDescent="0.35">
      <c r="T620" s="11"/>
      <c r="Z620" s="11"/>
    </row>
    <row r="621" spans="20:26" x14ac:dyDescent="0.35">
      <c r="T621" s="11"/>
      <c r="Z621" s="11"/>
    </row>
    <row r="622" spans="20:26" x14ac:dyDescent="0.35">
      <c r="T622" s="11"/>
      <c r="Z622" s="11"/>
    </row>
    <row r="623" spans="20:26" x14ac:dyDescent="0.35">
      <c r="T623" s="11"/>
      <c r="Z623" s="11"/>
    </row>
    <row r="624" spans="20:26" x14ac:dyDescent="0.35">
      <c r="T624" s="11"/>
      <c r="Z624" s="11"/>
    </row>
    <row r="625" spans="20:26" x14ac:dyDescent="0.35">
      <c r="T625" s="11"/>
      <c r="Z625" s="11"/>
    </row>
    <row r="626" spans="20:26" x14ac:dyDescent="0.35">
      <c r="T626" s="11"/>
      <c r="Z626" s="11"/>
    </row>
    <row r="627" spans="20:26" x14ac:dyDescent="0.35">
      <c r="T627" s="11"/>
      <c r="Z627" s="11"/>
    </row>
    <row r="628" spans="20:26" x14ac:dyDescent="0.35">
      <c r="T628" s="11"/>
      <c r="Z628" s="11"/>
    </row>
    <row r="629" spans="20:26" x14ac:dyDescent="0.35">
      <c r="T629" s="11"/>
      <c r="Z629" s="11"/>
    </row>
    <row r="630" spans="20:26" x14ac:dyDescent="0.35">
      <c r="T630" s="11"/>
      <c r="Z630" s="11"/>
    </row>
    <row r="631" spans="20:26" x14ac:dyDescent="0.35">
      <c r="T631" s="11"/>
      <c r="Z631" s="11"/>
    </row>
    <row r="632" spans="20:26" x14ac:dyDescent="0.35">
      <c r="T632" s="11"/>
      <c r="Z632" s="11"/>
    </row>
    <row r="633" spans="20:26" x14ac:dyDescent="0.35">
      <c r="T633" s="11"/>
      <c r="Z633" s="11"/>
    </row>
    <row r="634" spans="20:26" x14ac:dyDescent="0.35">
      <c r="T634" s="11"/>
      <c r="Z634" s="11"/>
    </row>
    <row r="635" spans="20:26" x14ac:dyDescent="0.35">
      <c r="T635" s="11"/>
      <c r="Z635" s="11"/>
    </row>
    <row r="636" spans="20:26" x14ac:dyDescent="0.35">
      <c r="T636" s="11"/>
      <c r="Z636" s="11"/>
    </row>
    <row r="637" spans="20:26" x14ac:dyDescent="0.35">
      <c r="T637" s="11"/>
      <c r="Z637" s="11"/>
    </row>
    <row r="638" spans="20:26" x14ac:dyDescent="0.35">
      <c r="T638" s="11"/>
      <c r="Z638" s="11"/>
    </row>
    <row r="639" spans="20:26" x14ac:dyDescent="0.35">
      <c r="T639" s="11"/>
      <c r="Z639" s="11"/>
    </row>
    <row r="640" spans="20:26" x14ac:dyDescent="0.35">
      <c r="T640" s="11"/>
      <c r="Z640" s="11"/>
    </row>
    <row r="641" spans="20:26" x14ac:dyDescent="0.35">
      <c r="T641" s="11"/>
      <c r="Z641" s="11"/>
    </row>
    <row r="642" spans="20:26" x14ac:dyDescent="0.35">
      <c r="T642" s="11"/>
      <c r="Z642" s="11"/>
    </row>
    <row r="643" spans="20:26" x14ac:dyDescent="0.35">
      <c r="T643" s="11"/>
      <c r="Z643" s="11"/>
    </row>
    <row r="644" spans="20:26" x14ac:dyDescent="0.35">
      <c r="T644" s="11"/>
      <c r="Z644" s="11"/>
    </row>
    <row r="645" spans="20:26" x14ac:dyDescent="0.35">
      <c r="T645" s="11"/>
      <c r="Z645" s="11"/>
    </row>
    <row r="646" spans="20:26" x14ac:dyDescent="0.35">
      <c r="T646" s="11"/>
      <c r="Z646" s="11"/>
    </row>
    <row r="647" spans="20:26" x14ac:dyDescent="0.35">
      <c r="T647" s="11"/>
      <c r="Z647" s="11"/>
    </row>
    <row r="648" spans="20:26" x14ac:dyDescent="0.35">
      <c r="T648" s="11"/>
      <c r="Z648" s="11"/>
    </row>
    <row r="649" spans="20:26" x14ac:dyDescent="0.35">
      <c r="T649" s="11"/>
      <c r="Z649" s="11"/>
    </row>
    <row r="650" spans="20:26" x14ac:dyDescent="0.35">
      <c r="T650" s="11"/>
      <c r="Z650" s="11"/>
    </row>
    <row r="651" spans="20:26" x14ac:dyDescent="0.35">
      <c r="T651" s="11"/>
      <c r="Z651" s="11"/>
    </row>
    <row r="652" spans="20:26" x14ac:dyDescent="0.35">
      <c r="T652" s="11"/>
      <c r="Z652" s="11"/>
    </row>
    <row r="653" spans="20:26" x14ac:dyDescent="0.35">
      <c r="T653" s="11"/>
      <c r="Z653" s="11"/>
    </row>
    <row r="654" spans="20:26" x14ac:dyDescent="0.35">
      <c r="T654" s="11"/>
      <c r="Z654" s="11"/>
    </row>
    <row r="656" spans="20:26" ht="15" thickBot="1" x14ac:dyDescent="0.4"/>
    <row r="657" spans="18:25" x14ac:dyDescent="0.35">
      <c r="R657" s="16" t="s">
        <v>80</v>
      </c>
      <c r="S657" s="17">
        <f ca="1">SUM(S7:S654)</f>
        <v>0</v>
      </c>
      <c r="V657" t="s">
        <v>81</v>
      </c>
      <c r="W657">
        <v>83</v>
      </c>
      <c r="X657">
        <f>Y656*0.923%*12</f>
        <v>0</v>
      </c>
    </row>
    <row r="658" spans="18:25" ht="15" thickBot="1" x14ac:dyDescent="0.4">
      <c r="R658" s="6" t="s">
        <v>82</v>
      </c>
      <c r="S658" s="7">
        <f ca="1">S657/12</f>
        <v>0</v>
      </c>
      <c r="V658" t="s">
        <v>81</v>
      </c>
      <c r="W658">
        <v>84</v>
      </c>
      <c r="X658">
        <f>Y656*1.2389%*12</f>
        <v>0</v>
      </c>
    </row>
    <row r="659" spans="18:25" x14ac:dyDescent="0.35">
      <c r="X659">
        <f>Y656-X656-X657-X658</f>
        <v>0</v>
      </c>
    </row>
    <row r="661" spans="18:25" x14ac:dyDescent="0.35">
      <c r="X661">
        <v>184143</v>
      </c>
      <c r="Y661">
        <f>Y656*0.594</f>
        <v>0</v>
      </c>
    </row>
  </sheetData>
  <sheetProtection selectLockedCells="1" selectUnlockedCells="1"/>
  <mergeCells count="6">
    <mergeCell ref="C48:D49"/>
    <mergeCell ref="C55:D56"/>
    <mergeCell ref="C29:D30"/>
    <mergeCell ref="C35:D36"/>
    <mergeCell ref="C6:D7"/>
    <mergeCell ref="C17:D18"/>
  </mergeCells>
  <pageMargins left="0.7" right="0.7" top="0.75" bottom="0.75" header="0.3" footer="0.3"/>
  <ignoredErrors>
    <ignoredError sqref="D14 D8:D12" unlockedFormula="1"/>
  </ignoredErrors>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BN56"/>
  <sheetViews>
    <sheetView topLeftCell="B1" workbookViewId="0">
      <selection activeCell="B2" sqref="B2"/>
    </sheetView>
  </sheetViews>
  <sheetFormatPr defaultRowHeight="14.5" x14ac:dyDescent="0.35"/>
  <cols>
    <col min="2" max="2" width="16.1796875" bestFit="1" customWidth="1"/>
  </cols>
  <sheetData>
    <row r="2" spans="2:66" x14ac:dyDescent="0.35">
      <c r="B2" t="s">
        <v>83</v>
      </c>
      <c r="C2">
        <v>1952</v>
      </c>
      <c r="D2">
        <v>1953</v>
      </c>
      <c r="E2">
        <v>1954</v>
      </c>
      <c r="F2">
        <v>1955</v>
      </c>
      <c r="G2">
        <v>1956</v>
      </c>
      <c r="H2">
        <v>1957</v>
      </c>
      <c r="I2">
        <v>1958</v>
      </c>
      <c r="J2">
        <v>1959</v>
      </c>
      <c r="K2">
        <v>1960</v>
      </c>
      <c r="L2">
        <v>1961</v>
      </c>
      <c r="M2">
        <v>1962</v>
      </c>
      <c r="N2">
        <v>1963</v>
      </c>
      <c r="O2">
        <v>1964</v>
      </c>
      <c r="P2">
        <v>1965</v>
      </c>
      <c r="Q2">
        <v>1966</v>
      </c>
      <c r="R2">
        <v>1967</v>
      </c>
      <c r="S2">
        <v>1968</v>
      </c>
      <c r="T2">
        <v>1969</v>
      </c>
      <c r="U2">
        <v>1970</v>
      </c>
      <c r="V2">
        <v>1971</v>
      </c>
      <c r="W2">
        <v>1972</v>
      </c>
      <c r="X2">
        <v>1973</v>
      </c>
      <c r="Y2">
        <v>1974</v>
      </c>
      <c r="Z2">
        <v>1975</v>
      </c>
      <c r="AA2">
        <v>1976</v>
      </c>
      <c r="AB2">
        <v>1977</v>
      </c>
      <c r="AC2">
        <v>1978</v>
      </c>
      <c r="AD2">
        <v>1979</v>
      </c>
      <c r="AE2">
        <v>1980</v>
      </c>
      <c r="AF2">
        <v>1981</v>
      </c>
      <c r="AG2">
        <v>1982</v>
      </c>
      <c r="AH2">
        <v>1983</v>
      </c>
      <c r="AI2">
        <v>1984</v>
      </c>
      <c r="AJ2">
        <v>1985</v>
      </c>
      <c r="AK2">
        <v>1986</v>
      </c>
      <c r="AL2">
        <v>1987</v>
      </c>
      <c r="AM2">
        <v>1988</v>
      </c>
      <c r="AN2">
        <v>1989</v>
      </c>
      <c r="AO2">
        <v>1990</v>
      </c>
      <c r="AP2">
        <v>1991</v>
      </c>
      <c r="AQ2">
        <v>1992</v>
      </c>
      <c r="AR2">
        <v>1993</v>
      </c>
      <c r="AS2">
        <v>1994</v>
      </c>
      <c r="AT2">
        <v>1995</v>
      </c>
      <c r="AU2">
        <v>1996</v>
      </c>
      <c r="AV2">
        <v>1997</v>
      </c>
      <c r="AW2">
        <v>1998</v>
      </c>
      <c r="AX2">
        <v>1999</v>
      </c>
      <c r="AY2">
        <v>2000</v>
      </c>
      <c r="AZ2">
        <v>2001</v>
      </c>
      <c r="BA2">
        <v>2002</v>
      </c>
      <c r="BB2">
        <v>2003</v>
      </c>
      <c r="BC2">
        <v>2004</v>
      </c>
      <c r="BD2">
        <v>2005</v>
      </c>
      <c r="BE2">
        <v>2006</v>
      </c>
      <c r="BF2">
        <v>2007</v>
      </c>
      <c r="BG2">
        <v>2008</v>
      </c>
      <c r="BH2">
        <v>2009</v>
      </c>
      <c r="BI2">
        <v>2010</v>
      </c>
      <c r="BJ2">
        <v>2011</v>
      </c>
      <c r="BK2">
        <v>2012</v>
      </c>
      <c r="BL2">
        <v>2013</v>
      </c>
      <c r="BM2">
        <v>2014</v>
      </c>
      <c r="BN2">
        <v>2015</v>
      </c>
    </row>
    <row r="3" spans="2:66" x14ac:dyDescent="0.35">
      <c r="B3">
        <v>16</v>
      </c>
      <c r="C3" s="3">
        <v>4251</v>
      </c>
      <c r="D3" s="3">
        <v>4236</v>
      </c>
      <c r="E3" s="3">
        <v>4221</v>
      </c>
      <c r="F3" s="3">
        <v>4206</v>
      </c>
      <c r="G3" s="3">
        <v>4191</v>
      </c>
      <c r="H3" s="3">
        <v>4176</v>
      </c>
      <c r="I3" s="3">
        <v>4161</v>
      </c>
      <c r="J3" s="3">
        <v>4146</v>
      </c>
      <c r="K3" s="3">
        <v>4131</v>
      </c>
      <c r="L3" s="3">
        <v>4116</v>
      </c>
      <c r="M3" s="3">
        <v>4101</v>
      </c>
      <c r="N3" s="3">
        <v>4087</v>
      </c>
      <c r="O3" s="3">
        <v>4072</v>
      </c>
      <c r="P3" s="3">
        <v>4058</v>
      </c>
      <c r="Q3" s="3">
        <v>4045</v>
      </c>
      <c r="R3" s="3">
        <v>4031</v>
      </c>
      <c r="S3" s="3">
        <v>4018</v>
      </c>
      <c r="T3" s="3">
        <v>4005</v>
      </c>
      <c r="U3" s="3">
        <v>3992</v>
      </c>
      <c r="V3" s="3">
        <v>3980</v>
      </c>
      <c r="W3" s="3">
        <v>3968</v>
      </c>
      <c r="X3" s="3">
        <v>3956</v>
      </c>
      <c r="Y3" s="3">
        <v>3945</v>
      </c>
      <c r="Z3" s="3">
        <v>3934</v>
      </c>
      <c r="AA3" s="3">
        <v>3923</v>
      </c>
      <c r="AB3" s="3">
        <v>3912</v>
      </c>
      <c r="AC3" s="3">
        <v>3902</v>
      </c>
      <c r="AD3" s="3">
        <v>3892</v>
      </c>
      <c r="AE3" s="3">
        <v>3883</v>
      </c>
      <c r="AF3" s="3">
        <v>3873</v>
      </c>
      <c r="AG3" s="3">
        <v>3864</v>
      </c>
      <c r="AH3" s="3">
        <v>3855</v>
      </c>
      <c r="AI3" s="3">
        <v>3846</v>
      </c>
      <c r="AJ3" s="3">
        <v>3838</v>
      </c>
      <c r="AK3" s="3">
        <v>3830</v>
      </c>
      <c r="AL3" s="3">
        <v>3822</v>
      </c>
      <c r="AM3" s="3">
        <v>3814</v>
      </c>
      <c r="AN3" s="3">
        <v>3806</v>
      </c>
      <c r="AO3" s="3">
        <v>3799</v>
      </c>
      <c r="AP3" s="3">
        <v>3791</v>
      </c>
      <c r="AQ3" s="3">
        <v>3784</v>
      </c>
      <c r="AR3" s="3">
        <v>3777</v>
      </c>
      <c r="AS3" s="3">
        <v>3770</v>
      </c>
      <c r="AT3" s="3">
        <v>3763</v>
      </c>
      <c r="AU3" s="3">
        <v>3756</v>
      </c>
      <c r="AV3" s="3">
        <v>3749</v>
      </c>
      <c r="AW3" s="3">
        <v>3742</v>
      </c>
      <c r="AX3" s="3">
        <v>3736</v>
      </c>
      <c r="AY3" s="3">
        <v>3729</v>
      </c>
      <c r="AZ3" s="3">
        <v>3722</v>
      </c>
      <c r="BA3" s="3">
        <v>3716</v>
      </c>
      <c r="BB3" s="3">
        <v>3710</v>
      </c>
      <c r="BC3" s="3">
        <v>3704</v>
      </c>
      <c r="BD3" s="3">
        <v>3697</v>
      </c>
      <c r="BE3" s="3">
        <v>3691</v>
      </c>
      <c r="BF3" s="3">
        <v>3685</v>
      </c>
      <c r="BG3" s="3">
        <v>3679</v>
      </c>
      <c r="BH3" s="3">
        <v>3673</v>
      </c>
      <c r="BI3" s="3">
        <v>3667</v>
      </c>
      <c r="BJ3" s="3">
        <v>3662</v>
      </c>
      <c r="BK3" s="3">
        <v>3656</v>
      </c>
      <c r="BL3" s="3">
        <v>3650</v>
      </c>
      <c r="BM3" s="3">
        <v>3644</v>
      </c>
      <c r="BN3" s="3">
        <v>3639</v>
      </c>
    </row>
    <row r="4" spans="2:66" x14ac:dyDescent="0.35">
      <c r="B4">
        <v>17</v>
      </c>
      <c r="C4" s="3">
        <v>4027</v>
      </c>
      <c r="D4" s="3">
        <v>4013</v>
      </c>
      <c r="E4" s="3">
        <v>3999</v>
      </c>
      <c r="F4" s="3">
        <v>3985</v>
      </c>
      <c r="G4" s="3">
        <v>3971</v>
      </c>
      <c r="H4" s="3">
        <v>3957</v>
      </c>
      <c r="I4" s="3">
        <v>3943</v>
      </c>
      <c r="J4" s="3">
        <v>3929</v>
      </c>
      <c r="K4" s="3">
        <v>3915</v>
      </c>
      <c r="L4" s="3">
        <v>3901</v>
      </c>
      <c r="M4" s="3">
        <v>3887</v>
      </c>
      <c r="N4" s="3">
        <v>3874</v>
      </c>
      <c r="O4" s="3">
        <v>3860</v>
      </c>
      <c r="P4" s="3">
        <v>3847</v>
      </c>
      <c r="Q4" s="3">
        <v>3834</v>
      </c>
      <c r="R4" s="3">
        <v>3822</v>
      </c>
      <c r="S4" s="3">
        <v>3809</v>
      </c>
      <c r="T4" s="3">
        <v>3797</v>
      </c>
      <c r="U4" s="3">
        <v>3785</v>
      </c>
      <c r="V4" s="3">
        <v>3774</v>
      </c>
      <c r="W4" s="3">
        <v>3763</v>
      </c>
      <c r="X4" s="3">
        <v>3752</v>
      </c>
      <c r="Y4" s="3">
        <v>3741</v>
      </c>
      <c r="Z4" s="3">
        <v>3730</v>
      </c>
      <c r="AA4" s="3">
        <v>3720</v>
      </c>
      <c r="AB4" s="3">
        <v>3711</v>
      </c>
      <c r="AC4" s="3">
        <v>3701</v>
      </c>
      <c r="AD4" s="3">
        <v>3692</v>
      </c>
      <c r="AE4" s="3">
        <v>3683</v>
      </c>
      <c r="AF4" s="3">
        <v>3674</v>
      </c>
      <c r="AG4" s="3">
        <v>3665</v>
      </c>
      <c r="AH4" s="3">
        <v>3657</v>
      </c>
      <c r="AI4" s="3">
        <v>3649</v>
      </c>
      <c r="AJ4" s="3">
        <v>3641</v>
      </c>
      <c r="AK4" s="3">
        <v>3633</v>
      </c>
      <c r="AL4" s="3">
        <v>3626</v>
      </c>
      <c r="AM4" s="3">
        <v>3618</v>
      </c>
      <c r="AN4" s="3">
        <v>3611</v>
      </c>
      <c r="AO4" s="3">
        <v>3604</v>
      </c>
      <c r="AP4" s="3">
        <v>3597</v>
      </c>
      <c r="AQ4" s="3">
        <v>3590</v>
      </c>
      <c r="AR4" s="3">
        <v>3583</v>
      </c>
      <c r="AS4" s="3">
        <v>3577</v>
      </c>
      <c r="AT4" s="3">
        <v>3570</v>
      </c>
      <c r="AU4" s="3">
        <v>3563</v>
      </c>
      <c r="AV4" s="3">
        <v>3557</v>
      </c>
      <c r="AW4" s="3">
        <v>3551</v>
      </c>
      <c r="AX4" s="3">
        <v>3544</v>
      </c>
      <c r="AY4" s="3">
        <v>3538</v>
      </c>
      <c r="AZ4" s="3">
        <v>3532</v>
      </c>
      <c r="BA4" s="3">
        <v>3526</v>
      </c>
      <c r="BB4" s="3">
        <v>3520</v>
      </c>
      <c r="BC4" s="3">
        <v>3514</v>
      </c>
      <c r="BD4" s="3">
        <v>3509</v>
      </c>
      <c r="BE4" s="3">
        <v>3503</v>
      </c>
      <c r="BF4" s="3">
        <v>3497</v>
      </c>
      <c r="BG4" s="3">
        <v>3492</v>
      </c>
      <c r="BH4" s="3">
        <v>3486</v>
      </c>
      <c r="BI4" s="3">
        <v>3480</v>
      </c>
      <c r="BJ4" s="3">
        <v>3475</v>
      </c>
      <c r="BK4" s="3">
        <v>3470</v>
      </c>
      <c r="BL4" s="3">
        <v>3464</v>
      </c>
      <c r="BM4" s="3">
        <v>3459</v>
      </c>
      <c r="BN4" s="3">
        <v>3454</v>
      </c>
    </row>
    <row r="5" spans="2:66" x14ac:dyDescent="0.35">
      <c r="B5">
        <v>18</v>
      </c>
      <c r="C5" s="3">
        <v>3823</v>
      </c>
      <c r="D5" s="3">
        <v>3810</v>
      </c>
      <c r="E5" s="3">
        <v>3796</v>
      </c>
      <c r="F5" s="3">
        <v>3783</v>
      </c>
      <c r="G5" s="3">
        <v>3770</v>
      </c>
      <c r="H5" s="3">
        <v>3757</v>
      </c>
      <c r="I5" s="3">
        <v>3743</v>
      </c>
      <c r="J5" s="3">
        <v>3730</v>
      </c>
      <c r="K5" s="3">
        <v>3717</v>
      </c>
      <c r="L5" s="3">
        <v>3704</v>
      </c>
      <c r="M5" s="3">
        <v>3691</v>
      </c>
      <c r="N5" s="3">
        <v>3679</v>
      </c>
      <c r="O5" s="3">
        <v>3666</v>
      </c>
      <c r="P5" s="3">
        <v>3654</v>
      </c>
      <c r="Q5" s="3">
        <v>3642</v>
      </c>
      <c r="R5" s="3">
        <v>3630</v>
      </c>
      <c r="S5" s="3">
        <v>3618</v>
      </c>
      <c r="T5" s="3">
        <v>3607</v>
      </c>
      <c r="U5" s="3">
        <v>3596</v>
      </c>
      <c r="V5" s="3">
        <v>3585</v>
      </c>
      <c r="W5" s="3">
        <v>3574</v>
      </c>
      <c r="X5" s="3">
        <v>3564</v>
      </c>
      <c r="Y5" s="3">
        <v>3554</v>
      </c>
      <c r="Z5" s="3">
        <v>3544</v>
      </c>
      <c r="AA5" s="3">
        <v>3535</v>
      </c>
      <c r="AB5" s="3">
        <v>3526</v>
      </c>
      <c r="AC5" s="3">
        <v>3517</v>
      </c>
      <c r="AD5" s="3">
        <v>3508</v>
      </c>
      <c r="AE5" s="3">
        <v>3499</v>
      </c>
      <c r="AF5" s="3">
        <v>3491</v>
      </c>
      <c r="AG5" s="3">
        <v>3483</v>
      </c>
      <c r="AH5" s="3">
        <v>3475</v>
      </c>
      <c r="AI5" s="3">
        <v>3468</v>
      </c>
      <c r="AJ5" s="3">
        <v>3460</v>
      </c>
      <c r="AK5" s="3">
        <v>3453</v>
      </c>
      <c r="AL5" s="3">
        <v>3446</v>
      </c>
      <c r="AM5" s="3">
        <v>3439</v>
      </c>
      <c r="AN5" s="3">
        <v>3432</v>
      </c>
      <c r="AO5" s="3">
        <v>3425</v>
      </c>
      <c r="AP5" s="3">
        <v>3419</v>
      </c>
      <c r="AQ5" s="3">
        <v>3412</v>
      </c>
      <c r="AR5" s="3">
        <v>3406</v>
      </c>
      <c r="AS5" s="3">
        <v>3399</v>
      </c>
      <c r="AT5" s="3">
        <v>3393</v>
      </c>
      <c r="AU5" s="3">
        <v>3387</v>
      </c>
      <c r="AV5" s="3">
        <v>3381</v>
      </c>
      <c r="AW5" s="3">
        <v>3375</v>
      </c>
      <c r="AX5" s="3">
        <v>3369</v>
      </c>
      <c r="AY5" s="3">
        <v>3363</v>
      </c>
      <c r="AZ5" s="3">
        <v>3358</v>
      </c>
      <c r="BA5" s="3">
        <v>3352</v>
      </c>
      <c r="BB5" s="3">
        <v>3346</v>
      </c>
      <c r="BC5" s="3">
        <v>3341</v>
      </c>
      <c r="BD5" s="3">
        <v>3335</v>
      </c>
      <c r="BE5" s="3">
        <v>3330</v>
      </c>
      <c r="BF5" s="3">
        <v>3325</v>
      </c>
      <c r="BG5" s="3">
        <v>3319</v>
      </c>
      <c r="BH5" s="3">
        <v>3314</v>
      </c>
      <c r="BI5" s="3">
        <v>3309</v>
      </c>
      <c r="BJ5" s="3">
        <v>3304</v>
      </c>
      <c r="BK5" s="3">
        <v>3299</v>
      </c>
      <c r="BL5" s="3">
        <v>3294</v>
      </c>
      <c r="BM5" s="3">
        <v>3289</v>
      </c>
      <c r="BN5" s="3">
        <v>3284</v>
      </c>
    </row>
    <row r="6" spans="2:66" x14ac:dyDescent="0.35">
      <c r="B6">
        <v>19</v>
      </c>
      <c r="C6" s="3">
        <v>3635</v>
      </c>
      <c r="D6" s="3">
        <v>3623</v>
      </c>
      <c r="E6" s="3">
        <v>3610</v>
      </c>
      <c r="F6" s="3">
        <v>3598</v>
      </c>
      <c r="G6" s="3">
        <v>3585</v>
      </c>
      <c r="H6" s="3">
        <v>3573</v>
      </c>
      <c r="I6" s="3">
        <v>3561</v>
      </c>
      <c r="J6" s="3">
        <v>3548</v>
      </c>
      <c r="K6" s="3">
        <v>3536</v>
      </c>
      <c r="L6" s="3">
        <v>3524</v>
      </c>
      <c r="M6" s="3">
        <v>3512</v>
      </c>
      <c r="N6" s="3">
        <v>3500</v>
      </c>
      <c r="O6" s="3">
        <v>3488</v>
      </c>
      <c r="P6" s="3">
        <v>3476</v>
      </c>
      <c r="Q6" s="3">
        <v>3465</v>
      </c>
      <c r="R6" s="3">
        <v>3454</v>
      </c>
      <c r="S6" s="3">
        <v>3443</v>
      </c>
      <c r="T6" s="3">
        <v>3432</v>
      </c>
      <c r="U6" s="3">
        <v>3422</v>
      </c>
      <c r="V6" s="3">
        <v>3412</v>
      </c>
      <c r="W6" s="3">
        <v>3402</v>
      </c>
      <c r="X6" s="3">
        <v>3392</v>
      </c>
      <c r="Y6" s="3">
        <v>3382</v>
      </c>
      <c r="Z6" s="3">
        <v>3373</v>
      </c>
      <c r="AA6" s="3">
        <v>3364</v>
      </c>
      <c r="AB6" s="3">
        <v>3356</v>
      </c>
      <c r="AC6" s="3">
        <v>3347</v>
      </c>
      <c r="AD6" s="3">
        <v>3339</v>
      </c>
      <c r="AE6" s="3">
        <v>3331</v>
      </c>
      <c r="AF6" s="3">
        <v>3323</v>
      </c>
      <c r="AG6" s="3">
        <v>3315</v>
      </c>
      <c r="AH6" s="3">
        <v>3308</v>
      </c>
      <c r="AI6" s="3">
        <v>3301</v>
      </c>
      <c r="AJ6" s="3">
        <v>3294</v>
      </c>
      <c r="AK6" s="3">
        <v>3287</v>
      </c>
      <c r="AL6" s="3">
        <v>3280</v>
      </c>
      <c r="AM6" s="3">
        <v>3274</v>
      </c>
      <c r="AN6" s="3">
        <v>3267</v>
      </c>
      <c r="AO6" s="3">
        <v>3261</v>
      </c>
      <c r="AP6" s="3">
        <v>3254</v>
      </c>
      <c r="AQ6" s="3">
        <v>3248</v>
      </c>
      <c r="AR6" s="3">
        <v>3242</v>
      </c>
      <c r="AS6" s="3">
        <v>3236</v>
      </c>
      <c r="AT6" s="3">
        <v>3230</v>
      </c>
      <c r="AU6" s="3">
        <v>3225</v>
      </c>
      <c r="AV6" s="3">
        <v>3219</v>
      </c>
      <c r="AW6" s="3">
        <v>3213</v>
      </c>
      <c r="AX6" s="3">
        <v>3208</v>
      </c>
      <c r="AY6" s="3">
        <v>3202</v>
      </c>
      <c r="AZ6" s="3">
        <v>3197</v>
      </c>
      <c r="BA6" s="3">
        <v>3192</v>
      </c>
      <c r="BB6" s="3">
        <v>3186</v>
      </c>
      <c r="BC6" s="3">
        <v>3181</v>
      </c>
      <c r="BD6" s="3">
        <v>3176</v>
      </c>
      <c r="BE6" s="3">
        <v>3171</v>
      </c>
      <c r="BF6" s="3">
        <v>3166</v>
      </c>
      <c r="BG6" s="3">
        <v>3161</v>
      </c>
      <c r="BH6" s="3">
        <v>3156</v>
      </c>
      <c r="BI6" s="3">
        <v>3151</v>
      </c>
      <c r="BJ6" s="3">
        <v>3146</v>
      </c>
      <c r="BK6" s="3">
        <v>3141</v>
      </c>
      <c r="BL6" s="3">
        <v>3137</v>
      </c>
      <c r="BM6" s="3">
        <v>3132</v>
      </c>
      <c r="BN6" s="3">
        <v>3127</v>
      </c>
    </row>
    <row r="7" spans="2:66" x14ac:dyDescent="0.35">
      <c r="B7">
        <v>20</v>
      </c>
      <c r="C7" s="3">
        <v>3462</v>
      </c>
      <c r="D7" s="3">
        <v>3450</v>
      </c>
      <c r="E7" s="3">
        <v>3439</v>
      </c>
      <c r="F7" s="3">
        <v>3427</v>
      </c>
      <c r="G7" s="3">
        <v>3415</v>
      </c>
      <c r="H7" s="3">
        <v>3404</v>
      </c>
      <c r="I7" s="3">
        <v>3392</v>
      </c>
      <c r="J7" s="3">
        <v>3380</v>
      </c>
      <c r="K7" s="3">
        <v>3369</v>
      </c>
      <c r="L7" s="3">
        <v>3357</v>
      </c>
      <c r="M7" s="3">
        <v>3346</v>
      </c>
      <c r="N7" s="3">
        <v>3335</v>
      </c>
      <c r="O7" s="3">
        <v>3324</v>
      </c>
      <c r="P7" s="3">
        <v>3313</v>
      </c>
      <c r="Q7" s="3">
        <v>3302</v>
      </c>
      <c r="R7" s="3">
        <v>3291</v>
      </c>
      <c r="S7" s="3">
        <v>3281</v>
      </c>
      <c r="T7" s="3">
        <v>3271</v>
      </c>
      <c r="U7" s="3">
        <v>3261</v>
      </c>
      <c r="V7" s="3">
        <v>3251</v>
      </c>
      <c r="W7" s="3">
        <v>3242</v>
      </c>
      <c r="X7" s="3">
        <v>3233</v>
      </c>
      <c r="Y7" s="3">
        <v>3224</v>
      </c>
      <c r="Z7" s="3">
        <v>3215</v>
      </c>
      <c r="AA7" s="3">
        <v>3207</v>
      </c>
      <c r="AB7" s="3">
        <v>3199</v>
      </c>
      <c r="AC7" s="3">
        <v>3191</v>
      </c>
      <c r="AD7" s="3">
        <v>3183</v>
      </c>
      <c r="AE7" s="3">
        <v>3175</v>
      </c>
      <c r="AF7" s="3">
        <v>3168</v>
      </c>
      <c r="AG7" s="3">
        <v>3161</v>
      </c>
      <c r="AH7" s="3">
        <v>3154</v>
      </c>
      <c r="AI7" s="3">
        <v>3147</v>
      </c>
      <c r="AJ7" s="3">
        <v>3140</v>
      </c>
      <c r="AK7" s="3">
        <v>3133</v>
      </c>
      <c r="AL7" s="3">
        <v>3127</v>
      </c>
      <c r="AM7" s="3">
        <v>3121</v>
      </c>
      <c r="AN7" s="3">
        <v>3115</v>
      </c>
      <c r="AO7" s="3">
        <v>3109</v>
      </c>
      <c r="AP7" s="3">
        <v>3103</v>
      </c>
      <c r="AQ7" s="3">
        <v>3097</v>
      </c>
      <c r="AR7" s="3">
        <v>3091</v>
      </c>
      <c r="AS7" s="3">
        <v>3086</v>
      </c>
      <c r="AT7" s="3">
        <v>3080</v>
      </c>
      <c r="AU7" s="3">
        <v>3074</v>
      </c>
      <c r="AV7" s="3">
        <v>3069</v>
      </c>
      <c r="AW7" s="3">
        <v>3064</v>
      </c>
      <c r="AX7" s="3">
        <v>3059</v>
      </c>
      <c r="AY7" s="3">
        <v>3053</v>
      </c>
      <c r="AZ7" s="3">
        <v>3048</v>
      </c>
      <c r="BA7" s="3">
        <v>3043</v>
      </c>
      <c r="BB7" s="3">
        <v>3038</v>
      </c>
      <c r="BC7" s="3">
        <v>3033</v>
      </c>
      <c r="BD7" s="3">
        <v>3029</v>
      </c>
      <c r="BE7" s="3">
        <v>3024</v>
      </c>
      <c r="BF7" s="3">
        <v>3019</v>
      </c>
      <c r="BG7" s="3">
        <v>3014</v>
      </c>
      <c r="BH7" s="3">
        <v>3010</v>
      </c>
      <c r="BI7" s="3">
        <v>3005</v>
      </c>
      <c r="BJ7" s="3">
        <v>3000</v>
      </c>
      <c r="BK7" s="3">
        <v>2996</v>
      </c>
      <c r="BL7" s="3">
        <v>2991</v>
      </c>
      <c r="BM7" s="3">
        <v>2987</v>
      </c>
      <c r="BN7" s="3">
        <v>2983</v>
      </c>
    </row>
    <row r="8" spans="2:66" x14ac:dyDescent="0.35">
      <c r="B8">
        <v>21</v>
      </c>
      <c r="C8" s="3">
        <v>3302</v>
      </c>
      <c r="D8" s="3">
        <v>3291</v>
      </c>
      <c r="E8" s="3">
        <v>3280</v>
      </c>
      <c r="F8" s="3">
        <v>3269</v>
      </c>
      <c r="G8" s="3">
        <v>3258</v>
      </c>
      <c r="H8" s="3">
        <v>3247</v>
      </c>
      <c r="I8" s="3">
        <v>3236</v>
      </c>
      <c r="J8" s="3">
        <v>3225</v>
      </c>
      <c r="K8" s="3">
        <v>3214</v>
      </c>
      <c r="L8" s="3">
        <v>3203</v>
      </c>
      <c r="M8" s="3">
        <v>3192</v>
      </c>
      <c r="N8" s="3">
        <v>3182</v>
      </c>
      <c r="O8" s="3">
        <v>3171</v>
      </c>
      <c r="P8" s="3">
        <v>3161</v>
      </c>
      <c r="Q8" s="3">
        <v>3151</v>
      </c>
      <c r="R8" s="3">
        <v>3141</v>
      </c>
      <c r="S8" s="3">
        <v>3131</v>
      </c>
      <c r="T8" s="3">
        <v>3121</v>
      </c>
      <c r="U8" s="3">
        <v>3112</v>
      </c>
      <c r="V8" s="3">
        <v>3103</v>
      </c>
      <c r="W8" s="3">
        <v>3094</v>
      </c>
      <c r="X8" s="3">
        <v>3085</v>
      </c>
      <c r="Y8" s="3">
        <v>3077</v>
      </c>
      <c r="Z8" s="3">
        <v>3069</v>
      </c>
      <c r="AA8" s="3">
        <v>3061</v>
      </c>
      <c r="AB8" s="3">
        <v>3053</v>
      </c>
      <c r="AC8" s="3">
        <v>3045</v>
      </c>
      <c r="AD8" s="3">
        <v>3038</v>
      </c>
      <c r="AE8" s="3">
        <v>3031</v>
      </c>
      <c r="AF8" s="3">
        <v>3024</v>
      </c>
      <c r="AG8" s="3">
        <v>3017</v>
      </c>
      <c r="AH8" s="3">
        <v>3010</v>
      </c>
      <c r="AI8" s="3">
        <v>3004</v>
      </c>
      <c r="AJ8" s="3">
        <v>2997</v>
      </c>
      <c r="AK8" s="3">
        <v>2991</v>
      </c>
      <c r="AL8" s="3">
        <v>2985</v>
      </c>
      <c r="AM8" s="3">
        <v>2979</v>
      </c>
      <c r="AN8" s="3">
        <v>2973</v>
      </c>
      <c r="AO8" s="3">
        <v>2967</v>
      </c>
      <c r="AP8" s="3">
        <v>2962</v>
      </c>
      <c r="AQ8" s="3">
        <v>2956</v>
      </c>
      <c r="AR8" s="3">
        <v>2951</v>
      </c>
      <c r="AS8" s="3">
        <v>2945</v>
      </c>
      <c r="AT8" s="3">
        <v>2940</v>
      </c>
      <c r="AU8" s="3">
        <v>2935</v>
      </c>
      <c r="AV8" s="3">
        <v>2930</v>
      </c>
      <c r="AW8" s="3">
        <v>2925</v>
      </c>
      <c r="AX8" s="3">
        <v>2920</v>
      </c>
      <c r="AY8" s="3">
        <v>2915</v>
      </c>
      <c r="AZ8" s="3">
        <v>2910</v>
      </c>
      <c r="BA8" s="3">
        <v>2906</v>
      </c>
      <c r="BB8" s="3">
        <v>2901</v>
      </c>
      <c r="BC8" s="3">
        <v>2896</v>
      </c>
      <c r="BD8" s="3">
        <v>2892</v>
      </c>
      <c r="BE8" s="3">
        <v>2887</v>
      </c>
      <c r="BF8" s="3">
        <v>2883</v>
      </c>
      <c r="BG8" s="3">
        <v>2878</v>
      </c>
      <c r="BH8" s="3">
        <v>2874</v>
      </c>
      <c r="BI8" s="3">
        <v>2869</v>
      </c>
      <c r="BJ8" s="3">
        <v>2865</v>
      </c>
      <c r="BK8" s="3">
        <v>2861</v>
      </c>
      <c r="BL8" s="3">
        <v>2857</v>
      </c>
      <c r="BM8" s="3">
        <v>2852</v>
      </c>
      <c r="BN8" s="3">
        <v>2848</v>
      </c>
    </row>
    <row r="9" spans="2:66" x14ac:dyDescent="0.35">
      <c r="B9">
        <v>22</v>
      </c>
      <c r="C9" s="3">
        <v>3153</v>
      </c>
      <c r="D9" s="3">
        <v>3142</v>
      </c>
      <c r="E9" s="3">
        <v>3132</v>
      </c>
      <c r="F9" s="3">
        <v>3122</v>
      </c>
      <c r="G9" s="3">
        <v>3111</v>
      </c>
      <c r="H9" s="3">
        <v>3101</v>
      </c>
      <c r="I9" s="3">
        <v>3090</v>
      </c>
      <c r="J9" s="3">
        <v>3080</v>
      </c>
      <c r="K9" s="3">
        <v>3069</v>
      </c>
      <c r="L9" s="3">
        <v>3059</v>
      </c>
      <c r="M9" s="3">
        <v>3049</v>
      </c>
      <c r="N9" s="3">
        <v>3039</v>
      </c>
      <c r="O9" s="3">
        <v>3029</v>
      </c>
      <c r="P9" s="3">
        <v>3019</v>
      </c>
      <c r="Q9" s="3">
        <v>3010</v>
      </c>
      <c r="R9" s="3">
        <v>3000</v>
      </c>
      <c r="S9" s="3">
        <v>2991</v>
      </c>
      <c r="T9" s="3">
        <v>2982</v>
      </c>
      <c r="U9" s="3">
        <v>2973</v>
      </c>
      <c r="V9" s="3">
        <v>2964</v>
      </c>
      <c r="W9" s="3">
        <v>2956</v>
      </c>
      <c r="X9" s="3">
        <v>2948</v>
      </c>
      <c r="Y9" s="3">
        <v>2940</v>
      </c>
      <c r="Z9" s="3">
        <v>2932</v>
      </c>
      <c r="AA9" s="3">
        <v>2924</v>
      </c>
      <c r="AB9" s="3">
        <v>2917</v>
      </c>
      <c r="AC9" s="3">
        <v>2909</v>
      </c>
      <c r="AD9" s="3">
        <v>2902</v>
      </c>
      <c r="AE9" s="3">
        <v>2896</v>
      </c>
      <c r="AF9" s="3">
        <v>2889</v>
      </c>
      <c r="AG9" s="3">
        <v>2882</v>
      </c>
      <c r="AH9" s="3">
        <v>2876</v>
      </c>
      <c r="AI9" s="3">
        <v>2870</v>
      </c>
      <c r="AJ9" s="3">
        <v>2864</v>
      </c>
      <c r="AK9" s="3">
        <v>2858</v>
      </c>
      <c r="AL9" s="3">
        <v>2852</v>
      </c>
      <c r="AM9" s="3">
        <v>2847</v>
      </c>
      <c r="AN9" s="3">
        <v>2841</v>
      </c>
      <c r="AO9" s="3">
        <v>2836</v>
      </c>
      <c r="AP9" s="3">
        <v>2830</v>
      </c>
      <c r="AQ9" s="3">
        <v>2825</v>
      </c>
      <c r="AR9" s="3">
        <v>2820</v>
      </c>
      <c r="AS9" s="3">
        <v>2815</v>
      </c>
      <c r="AT9" s="3">
        <v>2810</v>
      </c>
      <c r="AU9" s="3">
        <v>2805</v>
      </c>
      <c r="AV9" s="3">
        <v>2800</v>
      </c>
      <c r="AW9" s="3">
        <v>2795</v>
      </c>
      <c r="AX9" s="3">
        <v>2791</v>
      </c>
      <c r="AY9" s="3">
        <v>2786</v>
      </c>
      <c r="AZ9" s="3">
        <v>2782</v>
      </c>
      <c r="BA9" s="3">
        <v>2777</v>
      </c>
      <c r="BB9" s="3">
        <v>2773</v>
      </c>
      <c r="BC9" s="3">
        <v>2768</v>
      </c>
      <c r="BD9" s="3">
        <v>2764</v>
      </c>
      <c r="BE9" s="3">
        <v>2760</v>
      </c>
      <c r="BF9" s="3">
        <v>2755</v>
      </c>
      <c r="BG9" s="3">
        <v>2751</v>
      </c>
      <c r="BH9" s="3">
        <v>2747</v>
      </c>
      <c r="BI9" s="3">
        <v>2743</v>
      </c>
      <c r="BJ9" s="3">
        <v>2739</v>
      </c>
      <c r="BK9" s="3">
        <v>2735</v>
      </c>
      <c r="BL9" s="3">
        <v>2731</v>
      </c>
      <c r="BM9" s="3">
        <v>2727</v>
      </c>
      <c r="BN9" s="3">
        <v>2723</v>
      </c>
    </row>
    <row r="10" spans="2:66" x14ac:dyDescent="0.35">
      <c r="B10">
        <v>23</v>
      </c>
      <c r="C10" s="3">
        <v>3013</v>
      </c>
      <c r="D10" s="3">
        <v>3004</v>
      </c>
      <c r="E10" s="3">
        <v>2994</v>
      </c>
      <c r="F10" s="3">
        <v>2984</v>
      </c>
      <c r="G10" s="3">
        <v>2974</v>
      </c>
      <c r="H10" s="3">
        <v>2964</v>
      </c>
      <c r="I10" s="3">
        <v>2954</v>
      </c>
      <c r="J10" s="3">
        <v>2944</v>
      </c>
      <c r="K10" s="3">
        <v>2934</v>
      </c>
      <c r="L10" s="3">
        <v>2925</v>
      </c>
      <c r="M10" s="3">
        <v>2915</v>
      </c>
      <c r="N10" s="3">
        <v>2905</v>
      </c>
      <c r="O10" s="3">
        <v>2896</v>
      </c>
      <c r="P10" s="3">
        <v>2887</v>
      </c>
      <c r="Q10" s="3">
        <v>2878</v>
      </c>
      <c r="R10" s="3">
        <v>2869</v>
      </c>
      <c r="S10" s="3">
        <v>2860</v>
      </c>
      <c r="T10" s="3">
        <v>2851</v>
      </c>
      <c r="U10" s="3">
        <v>2843</v>
      </c>
      <c r="V10" s="3">
        <v>2835</v>
      </c>
      <c r="W10" s="3">
        <v>2827</v>
      </c>
      <c r="X10" s="3">
        <v>2819</v>
      </c>
      <c r="Y10" s="3">
        <v>2811</v>
      </c>
      <c r="Z10" s="3">
        <v>2804</v>
      </c>
      <c r="AA10" s="3">
        <v>2796</v>
      </c>
      <c r="AB10" s="3">
        <v>2789</v>
      </c>
      <c r="AC10" s="3">
        <v>2782</v>
      </c>
      <c r="AD10" s="3">
        <v>2776</v>
      </c>
      <c r="AE10" s="3">
        <v>2769</v>
      </c>
      <c r="AF10" s="3">
        <v>2763</v>
      </c>
      <c r="AG10" s="3">
        <v>2757</v>
      </c>
      <c r="AH10" s="3">
        <v>2751</v>
      </c>
      <c r="AI10" s="3">
        <v>2745</v>
      </c>
      <c r="AJ10" s="3">
        <v>2739</v>
      </c>
      <c r="AK10" s="3">
        <v>2733</v>
      </c>
      <c r="AL10" s="3">
        <v>2728</v>
      </c>
      <c r="AM10" s="3">
        <v>2722</v>
      </c>
      <c r="AN10" s="3">
        <v>2717</v>
      </c>
      <c r="AO10" s="3">
        <v>2712</v>
      </c>
      <c r="AP10" s="3">
        <v>2707</v>
      </c>
      <c r="AQ10" s="3">
        <v>2702</v>
      </c>
      <c r="AR10" s="3">
        <v>2697</v>
      </c>
      <c r="AS10" s="3">
        <v>2692</v>
      </c>
      <c r="AT10" s="3">
        <v>2687</v>
      </c>
      <c r="AU10" s="3">
        <v>2683</v>
      </c>
      <c r="AV10" s="3">
        <v>2678</v>
      </c>
      <c r="AW10" s="3">
        <v>2674</v>
      </c>
      <c r="AX10" s="3">
        <v>2670</v>
      </c>
      <c r="AY10" s="3">
        <v>2665</v>
      </c>
      <c r="AZ10" s="3">
        <v>2661</v>
      </c>
      <c r="BA10" s="3">
        <v>2657</v>
      </c>
      <c r="BB10" s="3">
        <v>2653</v>
      </c>
      <c r="BC10" s="3">
        <v>2648</v>
      </c>
      <c r="BD10" s="3">
        <v>2644</v>
      </c>
      <c r="BE10" s="3">
        <v>2640</v>
      </c>
      <c r="BF10" s="3">
        <v>2636</v>
      </c>
      <c r="BG10" s="3">
        <v>2632</v>
      </c>
      <c r="BH10" s="3">
        <v>2629</v>
      </c>
      <c r="BI10" s="3">
        <v>2625</v>
      </c>
      <c r="BJ10" s="3">
        <v>2621</v>
      </c>
      <c r="BK10" s="3">
        <v>2617</v>
      </c>
      <c r="BL10" s="3">
        <v>2613</v>
      </c>
      <c r="BM10" s="3">
        <v>2610</v>
      </c>
      <c r="BN10" s="3">
        <v>2606</v>
      </c>
    </row>
    <row r="11" spans="2:66" x14ac:dyDescent="0.35">
      <c r="B11">
        <v>24</v>
      </c>
      <c r="C11" s="3">
        <v>2883</v>
      </c>
      <c r="D11" s="3">
        <v>2874</v>
      </c>
      <c r="E11" s="3">
        <v>2865</v>
      </c>
      <c r="F11" s="3">
        <v>2855</v>
      </c>
      <c r="G11" s="3">
        <v>2846</v>
      </c>
      <c r="H11" s="3">
        <v>2836</v>
      </c>
      <c r="I11" s="3">
        <v>2827</v>
      </c>
      <c r="J11" s="3">
        <v>2818</v>
      </c>
      <c r="K11" s="3">
        <v>2808</v>
      </c>
      <c r="L11" s="3">
        <v>2799</v>
      </c>
      <c r="M11" s="3">
        <v>2790</v>
      </c>
      <c r="N11" s="3">
        <v>2781</v>
      </c>
      <c r="O11" s="3">
        <v>2772</v>
      </c>
      <c r="P11" s="3">
        <v>2763</v>
      </c>
      <c r="Q11" s="3">
        <v>2754</v>
      </c>
      <c r="R11" s="3">
        <v>2746</v>
      </c>
      <c r="S11" s="3">
        <v>2737</v>
      </c>
      <c r="T11" s="3">
        <v>2729</v>
      </c>
      <c r="U11" s="3">
        <v>2721</v>
      </c>
      <c r="V11" s="3">
        <v>2713</v>
      </c>
      <c r="W11" s="3">
        <v>2705</v>
      </c>
      <c r="X11" s="3">
        <v>2698</v>
      </c>
      <c r="Y11" s="3">
        <v>2691</v>
      </c>
      <c r="Z11" s="3">
        <v>2684</v>
      </c>
      <c r="AA11" s="3">
        <v>2677</v>
      </c>
      <c r="AB11" s="3">
        <v>2670</v>
      </c>
      <c r="AC11" s="3">
        <v>2663</v>
      </c>
      <c r="AD11" s="3">
        <v>2657</v>
      </c>
      <c r="AE11" s="3">
        <v>2651</v>
      </c>
      <c r="AF11" s="3">
        <v>2645</v>
      </c>
      <c r="AG11" s="3">
        <v>2639</v>
      </c>
      <c r="AH11" s="3">
        <v>2633</v>
      </c>
      <c r="AI11" s="3">
        <v>2627</v>
      </c>
      <c r="AJ11" s="3">
        <v>2622</v>
      </c>
      <c r="AK11" s="3">
        <v>2616</v>
      </c>
      <c r="AL11" s="3">
        <v>2611</v>
      </c>
      <c r="AM11" s="3">
        <v>2606</v>
      </c>
      <c r="AN11" s="3">
        <v>2601</v>
      </c>
      <c r="AO11" s="3">
        <v>2596</v>
      </c>
      <c r="AP11" s="3">
        <v>2591</v>
      </c>
      <c r="AQ11" s="3">
        <v>2586</v>
      </c>
      <c r="AR11" s="3">
        <v>2582</v>
      </c>
      <c r="AS11" s="3">
        <v>2577</v>
      </c>
      <c r="AT11" s="3">
        <v>2573</v>
      </c>
      <c r="AU11" s="3">
        <v>2569</v>
      </c>
      <c r="AV11" s="3">
        <v>2564</v>
      </c>
      <c r="AW11" s="3">
        <v>2560</v>
      </c>
      <c r="AX11" s="3">
        <v>2556</v>
      </c>
      <c r="AY11" s="3">
        <v>2552</v>
      </c>
      <c r="AZ11" s="3">
        <v>2548</v>
      </c>
      <c r="BA11" s="3">
        <v>2544</v>
      </c>
      <c r="BB11" s="3">
        <v>2540</v>
      </c>
      <c r="BC11" s="3">
        <v>2536</v>
      </c>
      <c r="BD11" s="3">
        <v>2532</v>
      </c>
      <c r="BE11" s="3">
        <v>2529</v>
      </c>
      <c r="BF11" s="3">
        <v>2525</v>
      </c>
      <c r="BG11" s="3">
        <v>2521</v>
      </c>
      <c r="BH11" s="3">
        <v>2518</v>
      </c>
      <c r="BI11" s="3">
        <v>2514</v>
      </c>
      <c r="BJ11" s="3">
        <v>2510</v>
      </c>
      <c r="BK11" s="3">
        <v>2507</v>
      </c>
      <c r="BL11" s="3">
        <v>2503</v>
      </c>
      <c r="BM11" s="3">
        <v>2500</v>
      </c>
      <c r="BN11" s="3">
        <v>2496</v>
      </c>
    </row>
    <row r="12" spans="2:66" x14ac:dyDescent="0.35">
      <c r="B12">
        <v>25</v>
      </c>
      <c r="C12" s="3">
        <v>2761</v>
      </c>
      <c r="D12" s="3">
        <v>2753</v>
      </c>
      <c r="E12" s="3">
        <v>2744</v>
      </c>
      <c r="F12" s="3">
        <v>2735</v>
      </c>
      <c r="G12" s="3">
        <v>2726</v>
      </c>
      <c r="H12" s="3">
        <v>2717</v>
      </c>
      <c r="I12" s="3">
        <v>2708</v>
      </c>
      <c r="J12" s="3">
        <v>2699</v>
      </c>
      <c r="K12" s="3">
        <v>2690</v>
      </c>
      <c r="L12" s="3">
        <v>2681</v>
      </c>
      <c r="M12" s="3">
        <v>2672</v>
      </c>
      <c r="N12" s="3">
        <v>2664</v>
      </c>
      <c r="O12" s="3">
        <v>2655</v>
      </c>
      <c r="P12" s="3">
        <v>2647</v>
      </c>
      <c r="Q12" s="3">
        <v>2638</v>
      </c>
      <c r="R12" s="3">
        <v>2630</v>
      </c>
      <c r="S12" s="3">
        <v>2622</v>
      </c>
      <c r="T12" s="3">
        <v>2614</v>
      </c>
      <c r="U12" s="3">
        <v>2607</v>
      </c>
      <c r="V12" s="3">
        <v>2599</v>
      </c>
      <c r="W12" s="3">
        <v>2592</v>
      </c>
      <c r="X12" s="3">
        <v>2585</v>
      </c>
      <c r="Y12" s="3">
        <v>2578</v>
      </c>
      <c r="Z12" s="3">
        <v>2571</v>
      </c>
      <c r="AA12" s="3">
        <v>2564</v>
      </c>
      <c r="AB12" s="3">
        <v>2558</v>
      </c>
      <c r="AC12" s="3">
        <v>2552</v>
      </c>
      <c r="AD12" s="3">
        <v>2545</v>
      </c>
      <c r="AE12" s="3">
        <v>2540</v>
      </c>
      <c r="AF12" s="3">
        <v>2534</v>
      </c>
      <c r="AG12" s="3">
        <v>2528</v>
      </c>
      <c r="AH12" s="3">
        <v>2523</v>
      </c>
      <c r="AI12" s="3">
        <v>2517</v>
      </c>
      <c r="AJ12" s="3">
        <v>2512</v>
      </c>
      <c r="AK12" s="3">
        <v>2507</v>
      </c>
      <c r="AL12" s="3">
        <v>2502</v>
      </c>
      <c r="AM12" s="3">
        <v>2497</v>
      </c>
      <c r="AN12" s="3">
        <v>2492</v>
      </c>
      <c r="AO12" s="3">
        <v>2487</v>
      </c>
      <c r="AP12" s="3">
        <v>2482</v>
      </c>
      <c r="AQ12" s="3">
        <v>2478</v>
      </c>
      <c r="AR12" s="3">
        <v>2474</v>
      </c>
      <c r="AS12" s="3">
        <v>2470</v>
      </c>
      <c r="AT12" s="3">
        <v>2466</v>
      </c>
      <c r="AU12" s="3">
        <v>2462</v>
      </c>
      <c r="AV12" s="3">
        <v>2458</v>
      </c>
      <c r="AW12" s="3">
        <v>2454</v>
      </c>
      <c r="AX12" s="3">
        <v>2450</v>
      </c>
      <c r="AY12" s="3">
        <v>2446</v>
      </c>
      <c r="AZ12" s="3">
        <v>2442</v>
      </c>
      <c r="BA12" s="3">
        <v>2438</v>
      </c>
      <c r="BB12" s="3">
        <v>2435</v>
      </c>
      <c r="BC12" s="3">
        <v>2431</v>
      </c>
      <c r="BD12" s="3">
        <v>2427</v>
      </c>
      <c r="BE12" s="3">
        <v>2424</v>
      </c>
      <c r="BF12" s="3">
        <v>2420</v>
      </c>
      <c r="BG12" s="3">
        <v>2417</v>
      </c>
      <c r="BH12" s="3">
        <v>2413</v>
      </c>
      <c r="BI12" s="3">
        <v>2410</v>
      </c>
      <c r="BJ12" s="3">
        <v>2407</v>
      </c>
      <c r="BK12" s="3">
        <v>2403</v>
      </c>
      <c r="BL12" s="3">
        <v>2400</v>
      </c>
      <c r="BM12" s="3">
        <v>2397</v>
      </c>
      <c r="BN12" s="3">
        <v>2393</v>
      </c>
    </row>
    <row r="13" spans="2:66" x14ac:dyDescent="0.35">
      <c r="B13">
        <v>26</v>
      </c>
      <c r="C13" s="3">
        <v>2647</v>
      </c>
      <c r="D13" s="3">
        <v>2639</v>
      </c>
      <c r="E13" s="3">
        <v>2631</v>
      </c>
      <c r="F13" s="3">
        <v>2622</v>
      </c>
      <c r="G13" s="3">
        <v>2613</v>
      </c>
      <c r="H13" s="3">
        <v>2605</v>
      </c>
      <c r="I13" s="3">
        <v>2596</v>
      </c>
      <c r="J13" s="3">
        <v>2588</v>
      </c>
      <c r="K13" s="3">
        <v>2579</v>
      </c>
      <c r="L13" s="3">
        <v>2571</v>
      </c>
      <c r="M13" s="3">
        <v>2562</v>
      </c>
      <c r="N13" s="3">
        <v>2554</v>
      </c>
      <c r="O13" s="3">
        <v>2546</v>
      </c>
      <c r="P13" s="3">
        <v>2538</v>
      </c>
      <c r="Q13" s="3">
        <v>2530</v>
      </c>
      <c r="R13" s="3">
        <v>2522</v>
      </c>
      <c r="S13" s="3">
        <v>2514</v>
      </c>
      <c r="T13" s="3">
        <v>2507</v>
      </c>
      <c r="U13" s="3">
        <v>2500</v>
      </c>
      <c r="V13" s="3">
        <v>2492</v>
      </c>
      <c r="W13" s="3">
        <v>2485</v>
      </c>
      <c r="X13" s="3">
        <v>2479</v>
      </c>
      <c r="Y13" s="3">
        <v>2472</v>
      </c>
      <c r="Z13" s="3">
        <v>2465</v>
      </c>
      <c r="AA13" s="3">
        <v>2459</v>
      </c>
      <c r="AB13" s="3">
        <v>2453</v>
      </c>
      <c r="AC13" s="3">
        <v>2447</v>
      </c>
      <c r="AD13" s="3">
        <v>2441</v>
      </c>
      <c r="AE13" s="3">
        <v>2435</v>
      </c>
      <c r="AF13" s="3">
        <v>2430</v>
      </c>
      <c r="AG13" s="3">
        <v>2424</v>
      </c>
      <c r="AH13" s="3">
        <v>2419</v>
      </c>
      <c r="AI13" s="3">
        <v>2414</v>
      </c>
      <c r="AJ13" s="3">
        <v>2409</v>
      </c>
      <c r="AK13" s="3">
        <v>2404</v>
      </c>
      <c r="AL13" s="3">
        <v>2399</v>
      </c>
      <c r="AM13" s="3">
        <v>2394</v>
      </c>
      <c r="AN13" s="3">
        <v>2390</v>
      </c>
      <c r="AO13" s="3">
        <v>2385</v>
      </c>
      <c r="AP13" s="3">
        <v>2381</v>
      </c>
      <c r="AQ13" s="3">
        <v>2377</v>
      </c>
      <c r="AR13" s="3">
        <v>2373</v>
      </c>
      <c r="AS13" s="3">
        <v>2369</v>
      </c>
      <c r="AT13" s="3">
        <v>2365</v>
      </c>
      <c r="AU13" s="3">
        <v>2361</v>
      </c>
      <c r="AV13" s="3">
        <v>2357</v>
      </c>
      <c r="AW13" s="3">
        <v>2354</v>
      </c>
      <c r="AX13" s="3">
        <v>2350</v>
      </c>
      <c r="AY13" s="3">
        <v>2346</v>
      </c>
      <c r="AZ13" s="3">
        <v>2343</v>
      </c>
      <c r="BA13" s="3">
        <v>2339</v>
      </c>
      <c r="BB13" s="3">
        <v>2336</v>
      </c>
      <c r="BC13" s="3">
        <v>2332</v>
      </c>
      <c r="BD13" s="3">
        <v>2329</v>
      </c>
      <c r="BE13" s="3">
        <v>2326</v>
      </c>
      <c r="BF13" s="3">
        <v>2322</v>
      </c>
      <c r="BG13" s="3">
        <v>2319</v>
      </c>
      <c r="BH13" s="3">
        <v>2316</v>
      </c>
      <c r="BI13" s="3">
        <v>2312</v>
      </c>
      <c r="BJ13" s="3">
        <v>2309</v>
      </c>
      <c r="BK13" s="3">
        <v>2306</v>
      </c>
      <c r="BL13" s="3">
        <v>2303</v>
      </c>
      <c r="BM13" s="3">
        <v>2300</v>
      </c>
      <c r="BN13" s="3">
        <v>2297</v>
      </c>
    </row>
    <row r="14" spans="2:66" x14ac:dyDescent="0.35">
      <c r="B14">
        <v>27</v>
      </c>
      <c r="C14" s="3">
        <v>2541</v>
      </c>
      <c r="D14" s="3">
        <v>2533</v>
      </c>
      <c r="E14" s="3">
        <v>2525</v>
      </c>
      <c r="F14" s="3">
        <v>2517</v>
      </c>
      <c r="G14" s="3">
        <v>2509</v>
      </c>
      <c r="H14" s="3">
        <v>2500</v>
      </c>
      <c r="I14" s="3">
        <v>2492</v>
      </c>
      <c r="J14" s="3">
        <v>2484</v>
      </c>
      <c r="K14" s="3">
        <v>2476</v>
      </c>
      <c r="L14" s="3">
        <v>2468</v>
      </c>
      <c r="M14" s="3">
        <v>2460</v>
      </c>
      <c r="N14" s="3">
        <v>2452</v>
      </c>
      <c r="O14" s="3">
        <v>2444</v>
      </c>
      <c r="P14" s="3">
        <v>2436</v>
      </c>
      <c r="Q14" s="3">
        <v>2428</v>
      </c>
      <c r="R14" s="3">
        <v>2421</v>
      </c>
      <c r="S14" s="3">
        <v>2414</v>
      </c>
      <c r="T14" s="3">
        <v>2406</v>
      </c>
      <c r="U14" s="3">
        <v>2399</v>
      </c>
      <c r="V14" s="3">
        <v>2392</v>
      </c>
      <c r="W14" s="3">
        <v>2386</v>
      </c>
      <c r="X14" s="3">
        <v>2379</v>
      </c>
      <c r="Y14" s="3">
        <v>2373</v>
      </c>
      <c r="Z14" s="3">
        <v>2367</v>
      </c>
      <c r="AA14" s="3">
        <v>2360</v>
      </c>
      <c r="AB14" s="3">
        <v>2355</v>
      </c>
      <c r="AC14" s="3">
        <v>2349</v>
      </c>
      <c r="AD14" s="3">
        <v>2343</v>
      </c>
      <c r="AE14" s="3">
        <v>2338</v>
      </c>
      <c r="AF14" s="3">
        <v>2332</v>
      </c>
      <c r="AG14" s="3">
        <v>2327</v>
      </c>
      <c r="AH14" s="3">
        <v>2322</v>
      </c>
      <c r="AI14" s="3">
        <v>2317</v>
      </c>
      <c r="AJ14" s="3">
        <v>2312</v>
      </c>
      <c r="AK14" s="3">
        <v>2308</v>
      </c>
      <c r="AL14" s="3">
        <v>2303</v>
      </c>
      <c r="AM14" s="3">
        <v>2298</v>
      </c>
      <c r="AN14" s="3">
        <v>2294</v>
      </c>
      <c r="AO14" s="3">
        <v>2290</v>
      </c>
      <c r="AP14" s="3">
        <v>2286</v>
      </c>
      <c r="AQ14" s="3">
        <v>2282</v>
      </c>
      <c r="AR14" s="3">
        <v>2278</v>
      </c>
      <c r="AS14" s="3">
        <v>2274</v>
      </c>
      <c r="AT14" s="3">
        <v>2271</v>
      </c>
      <c r="AU14" s="3">
        <v>2267</v>
      </c>
      <c r="AV14" s="3">
        <v>2264</v>
      </c>
      <c r="AW14" s="3">
        <v>2260</v>
      </c>
      <c r="AX14" s="3">
        <v>2257</v>
      </c>
      <c r="AY14" s="3">
        <v>2253</v>
      </c>
      <c r="AZ14" s="3">
        <v>2250</v>
      </c>
      <c r="BA14" s="3">
        <v>2246</v>
      </c>
      <c r="BB14" s="3">
        <v>2243</v>
      </c>
      <c r="BC14" s="3">
        <v>2240</v>
      </c>
      <c r="BD14" s="3">
        <v>2237</v>
      </c>
      <c r="BE14" s="3">
        <v>2234</v>
      </c>
      <c r="BF14" s="3">
        <v>2230</v>
      </c>
      <c r="BG14" s="3">
        <v>2227</v>
      </c>
      <c r="BH14" s="3">
        <v>2224</v>
      </c>
      <c r="BI14" s="3">
        <v>2221</v>
      </c>
      <c r="BJ14" s="3">
        <v>2218</v>
      </c>
      <c r="BK14" s="3">
        <v>2215</v>
      </c>
      <c r="BL14" s="3">
        <v>2212</v>
      </c>
      <c r="BM14" s="3">
        <v>2209</v>
      </c>
      <c r="BN14" s="3">
        <v>2206</v>
      </c>
    </row>
    <row r="15" spans="2:66" x14ac:dyDescent="0.35">
      <c r="B15">
        <v>28</v>
      </c>
      <c r="C15" s="3">
        <v>2442</v>
      </c>
      <c r="D15" s="3">
        <v>2434</v>
      </c>
      <c r="E15" s="3">
        <v>2426</v>
      </c>
      <c r="F15" s="3">
        <v>2418</v>
      </c>
      <c r="G15" s="3">
        <v>2410</v>
      </c>
      <c r="H15" s="3">
        <v>2403</v>
      </c>
      <c r="I15" s="3">
        <v>2395</v>
      </c>
      <c r="J15" s="3">
        <v>2387</v>
      </c>
      <c r="K15" s="3">
        <v>2379</v>
      </c>
      <c r="L15" s="3">
        <v>2371</v>
      </c>
      <c r="M15" s="3">
        <v>2363</v>
      </c>
      <c r="N15" s="3">
        <v>2356</v>
      </c>
      <c r="O15" s="3">
        <v>2348</v>
      </c>
      <c r="P15" s="3">
        <v>2341</v>
      </c>
      <c r="Q15" s="3">
        <v>2333</v>
      </c>
      <c r="R15" s="3">
        <v>2326</v>
      </c>
      <c r="S15" s="3">
        <v>2319</v>
      </c>
      <c r="T15" s="3">
        <v>2312</v>
      </c>
      <c r="U15" s="3">
        <v>2306</v>
      </c>
      <c r="V15" s="3">
        <v>2299</v>
      </c>
      <c r="W15" s="3">
        <v>2292</v>
      </c>
      <c r="X15" s="3">
        <v>2286</v>
      </c>
      <c r="Y15" s="3">
        <v>2280</v>
      </c>
      <c r="Z15" s="3">
        <v>2274</v>
      </c>
      <c r="AA15" s="3">
        <v>2268</v>
      </c>
      <c r="AB15" s="3">
        <v>2262</v>
      </c>
      <c r="AC15" s="3">
        <v>2257</v>
      </c>
      <c r="AD15" s="3">
        <v>2252</v>
      </c>
      <c r="AE15" s="3">
        <v>2246</v>
      </c>
      <c r="AF15" s="3">
        <v>2241</v>
      </c>
      <c r="AG15" s="3">
        <v>2236</v>
      </c>
      <c r="AH15" s="3">
        <v>2231</v>
      </c>
      <c r="AI15" s="3">
        <v>2226</v>
      </c>
      <c r="AJ15" s="3">
        <v>2222</v>
      </c>
      <c r="AK15" s="3">
        <v>2217</v>
      </c>
      <c r="AL15" s="3">
        <v>2213</v>
      </c>
      <c r="AM15" s="3">
        <v>2208</v>
      </c>
      <c r="AN15" s="3">
        <v>2204</v>
      </c>
      <c r="AO15" s="3">
        <v>2201</v>
      </c>
      <c r="AP15" s="3">
        <v>2197</v>
      </c>
      <c r="AQ15" s="3">
        <v>2193</v>
      </c>
      <c r="AR15" s="3">
        <v>2190</v>
      </c>
      <c r="AS15" s="3">
        <v>2186</v>
      </c>
      <c r="AT15" s="3">
        <v>2182</v>
      </c>
      <c r="AU15" s="3">
        <v>2179</v>
      </c>
      <c r="AV15" s="3">
        <v>2176</v>
      </c>
      <c r="AW15" s="3">
        <v>2172</v>
      </c>
      <c r="AX15" s="3">
        <v>2169</v>
      </c>
      <c r="AY15" s="3">
        <v>2166</v>
      </c>
      <c r="AZ15" s="3">
        <v>2163</v>
      </c>
      <c r="BA15" s="3">
        <v>2159</v>
      </c>
      <c r="BB15" s="3">
        <v>2156</v>
      </c>
      <c r="BC15" s="3">
        <v>2153</v>
      </c>
      <c r="BD15" s="3">
        <v>2150</v>
      </c>
      <c r="BE15" s="3">
        <v>2147</v>
      </c>
      <c r="BF15" s="3">
        <v>2144</v>
      </c>
      <c r="BG15" s="3">
        <v>2141</v>
      </c>
      <c r="BH15" s="3">
        <v>2138</v>
      </c>
      <c r="BI15" s="3">
        <v>2135</v>
      </c>
      <c r="BJ15" s="3">
        <v>2133</v>
      </c>
      <c r="BK15" s="3">
        <v>2130</v>
      </c>
      <c r="BL15" s="3">
        <v>2127</v>
      </c>
      <c r="BM15" s="3">
        <v>2124</v>
      </c>
      <c r="BN15" s="3">
        <v>2121</v>
      </c>
    </row>
    <row r="16" spans="2:66" x14ac:dyDescent="0.35">
      <c r="B16">
        <v>29</v>
      </c>
      <c r="C16" s="3">
        <v>2349</v>
      </c>
      <c r="D16" s="3">
        <v>2341</v>
      </c>
      <c r="E16" s="3">
        <v>2334</v>
      </c>
      <c r="F16" s="3">
        <v>2326</v>
      </c>
      <c r="G16" s="3">
        <v>2319</v>
      </c>
      <c r="H16" s="3">
        <v>2311</v>
      </c>
      <c r="I16" s="3">
        <v>2303</v>
      </c>
      <c r="J16" s="3">
        <v>2296</v>
      </c>
      <c r="K16" s="3">
        <v>2288</v>
      </c>
      <c r="L16" s="3">
        <v>2281</v>
      </c>
      <c r="M16" s="3">
        <v>2273</v>
      </c>
      <c r="N16" s="3">
        <v>2266</v>
      </c>
      <c r="O16" s="3">
        <v>2259</v>
      </c>
      <c r="P16" s="3">
        <v>2252</v>
      </c>
      <c r="Q16" s="3">
        <v>2244</v>
      </c>
      <c r="R16" s="3">
        <v>2238</v>
      </c>
      <c r="S16" s="3">
        <v>2231</v>
      </c>
      <c r="T16" s="3">
        <v>2224</v>
      </c>
      <c r="U16" s="3">
        <v>2218</v>
      </c>
      <c r="V16" s="3">
        <v>2211</v>
      </c>
      <c r="W16" s="3">
        <v>2205</v>
      </c>
      <c r="X16" s="3">
        <v>2199</v>
      </c>
      <c r="Y16" s="3">
        <v>2193</v>
      </c>
      <c r="Z16" s="3">
        <v>2187</v>
      </c>
      <c r="AA16" s="3">
        <v>2182</v>
      </c>
      <c r="AB16" s="3">
        <v>2176</v>
      </c>
      <c r="AC16" s="3">
        <v>2171</v>
      </c>
      <c r="AD16" s="3">
        <v>2166</v>
      </c>
      <c r="AE16" s="3">
        <v>2160</v>
      </c>
      <c r="AF16" s="3">
        <v>2155</v>
      </c>
      <c r="AG16" s="3">
        <v>2151</v>
      </c>
      <c r="AH16" s="3">
        <v>2146</v>
      </c>
      <c r="AI16" s="3">
        <v>2141</v>
      </c>
      <c r="AJ16" s="3">
        <v>2137</v>
      </c>
      <c r="AK16" s="3">
        <v>2132</v>
      </c>
      <c r="AL16" s="3">
        <v>2128</v>
      </c>
      <c r="AM16" s="3">
        <v>2124</v>
      </c>
      <c r="AN16" s="3">
        <v>2121</v>
      </c>
      <c r="AO16" s="3">
        <v>2117</v>
      </c>
      <c r="AP16" s="3">
        <v>2113</v>
      </c>
      <c r="AQ16" s="3">
        <v>2110</v>
      </c>
      <c r="AR16" s="3">
        <v>2106</v>
      </c>
      <c r="AS16" s="3">
        <v>2103</v>
      </c>
      <c r="AT16" s="3">
        <v>2100</v>
      </c>
      <c r="AU16" s="3">
        <v>2096</v>
      </c>
      <c r="AV16" s="3">
        <v>2093</v>
      </c>
      <c r="AW16" s="3">
        <v>2090</v>
      </c>
      <c r="AX16" s="3">
        <v>2087</v>
      </c>
      <c r="AY16" s="3">
        <v>2084</v>
      </c>
      <c r="AZ16" s="3">
        <v>2081</v>
      </c>
      <c r="BA16" s="3">
        <v>2078</v>
      </c>
      <c r="BB16" s="3">
        <v>2075</v>
      </c>
      <c r="BC16" s="3">
        <v>2072</v>
      </c>
      <c r="BD16" s="3">
        <v>2069</v>
      </c>
      <c r="BE16" s="3">
        <v>2066</v>
      </c>
      <c r="BF16" s="3">
        <v>2063</v>
      </c>
      <c r="BG16" s="3">
        <v>2061</v>
      </c>
      <c r="BH16" s="3">
        <v>2058</v>
      </c>
      <c r="BI16" s="3">
        <v>2055</v>
      </c>
      <c r="BJ16" s="3">
        <v>2052</v>
      </c>
      <c r="BK16" s="3">
        <v>2050</v>
      </c>
      <c r="BL16" s="3">
        <v>2047</v>
      </c>
      <c r="BM16" s="3">
        <v>2044</v>
      </c>
      <c r="BN16" s="3">
        <v>2041</v>
      </c>
    </row>
    <row r="17" spans="2:66" x14ac:dyDescent="0.35">
      <c r="B17">
        <v>30</v>
      </c>
      <c r="C17" s="3">
        <v>2262</v>
      </c>
      <c r="D17" s="3">
        <v>2254</v>
      </c>
      <c r="E17" s="3">
        <v>2247</v>
      </c>
      <c r="F17" s="3">
        <v>2240</v>
      </c>
      <c r="G17" s="3">
        <v>2233</v>
      </c>
      <c r="H17" s="3">
        <v>2225</v>
      </c>
      <c r="I17" s="3">
        <v>2218</v>
      </c>
      <c r="J17" s="3">
        <v>2211</v>
      </c>
      <c r="K17" s="3">
        <v>2203</v>
      </c>
      <c r="L17" s="3">
        <v>2196</v>
      </c>
      <c r="M17" s="3">
        <v>2189</v>
      </c>
      <c r="N17" s="3">
        <v>2182</v>
      </c>
      <c r="O17" s="3">
        <v>2175</v>
      </c>
      <c r="P17" s="3">
        <v>2168</v>
      </c>
      <c r="Q17" s="3">
        <v>2161</v>
      </c>
      <c r="R17" s="3">
        <v>2154</v>
      </c>
      <c r="S17" s="3">
        <v>2148</v>
      </c>
      <c r="T17" s="3">
        <v>2142</v>
      </c>
      <c r="U17" s="3">
        <v>2135</v>
      </c>
      <c r="V17" s="3">
        <v>2129</v>
      </c>
      <c r="W17" s="3">
        <v>2123</v>
      </c>
      <c r="X17" s="3">
        <v>2117</v>
      </c>
      <c r="Y17" s="3">
        <v>2111</v>
      </c>
      <c r="Z17" s="3">
        <v>2106</v>
      </c>
      <c r="AA17" s="3">
        <v>2100</v>
      </c>
      <c r="AB17" s="3">
        <v>2095</v>
      </c>
      <c r="AC17" s="3">
        <v>2090</v>
      </c>
      <c r="AD17" s="3">
        <v>2085</v>
      </c>
      <c r="AE17" s="3">
        <v>2080</v>
      </c>
      <c r="AF17" s="3">
        <v>2075</v>
      </c>
      <c r="AG17" s="3">
        <v>2071</v>
      </c>
      <c r="AH17" s="3">
        <v>2066</v>
      </c>
      <c r="AI17" s="3">
        <v>2062</v>
      </c>
      <c r="AJ17" s="3">
        <v>2057</v>
      </c>
      <c r="AK17" s="3">
        <v>2053</v>
      </c>
      <c r="AL17" s="3">
        <v>2049</v>
      </c>
      <c r="AM17" s="3">
        <v>2046</v>
      </c>
      <c r="AN17" s="3">
        <v>2042</v>
      </c>
      <c r="AO17" s="3">
        <v>2039</v>
      </c>
      <c r="AP17" s="3">
        <v>2035</v>
      </c>
      <c r="AQ17" s="3">
        <v>2032</v>
      </c>
      <c r="AR17" s="3">
        <v>2029</v>
      </c>
      <c r="AS17" s="3">
        <v>2025</v>
      </c>
      <c r="AT17" s="3">
        <v>2022</v>
      </c>
      <c r="AU17" s="3">
        <v>2019</v>
      </c>
      <c r="AV17" s="3">
        <v>2016</v>
      </c>
      <c r="AW17" s="3">
        <v>2013</v>
      </c>
      <c r="AX17" s="3">
        <v>2010</v>
      </c>
      <c r="AY17" s="3">
        <v>2007</v>
      </c>
      <c r="AZ17" s="3">
        <v>2004</v>
      </c>
      <c r="BA17" s="3">
        <v>2001</v>
      </c>
      <c r="BB17" s="3">
        <v>1999</v>
      </c>
      <c r="BC17" s="3">
        <v>1996</v>
      </c>
      <c r="BD17" s="3">
        <v>1993</v>
      </c>
      <c r="BE17" s="3">
        <v>1990</v>
      </c>
      <c r="BF17" s="3">
        <v>1988</v>
      </c>
      <c r="BG17" s="3">
        <v>1985</v>
      </c>
      <c r="BH17" s="3">
        <v>1982</v>
      </c>
      <c r="BI17" s="3">
        <v>1980</v>
      </c>
      <c r="BJ17" s="3">
        <v>1977</v>
      </c>
      <c r="BK17" s="3">
        <v>1974</v>
      </c>
      <c r="BL17" s="3">
        <v>1972</v>
      </c>
      <c r="BM17" s="3">
        <v>1969</v>
      </c>
      <c r="BN17" s="3">
        <v>1967</v>
      </c>
    </row>
    <row r="18" spans="2:66" x14ac:dyDescent="0.35">
      <c r="B18">
        <v>31</v>
      </c>
      <c r="C18" s="3">
        <v>2180</v>
      </c>
      <c r="D18" s="3">
        <v>2174</v>
      </c>
      <c r="E18" s="3">
        <v>2167</v>
      </c>
      <c r="F18" s="3">
        <v>2160</v>
      </c>
      <c r="G18" s="3">
        <v>2152</v>
      </c>
      <c r="H18" s="3">
        <v>2145</v>
      </c>
      <c r="I18" s="3">
        <v>2138</v>
      </c>
      <c r="J18" s="3">
        <v>2131</v>
      </c>
      <c r="K18" s="3">
        <v>2124</v>
      </c>
      <c r="L18" s="3">
        <v>2117</v>
      </c>
      <c r="M18" s="3">
        <v>2110</v>
      </c>
      <c r="N18" s="3">
        <v>2103</v>
      </c>
      <c r="O18" s="3">
        <v>2097</v>
      </c>
      <c r="P18" s="3">
        <v>2090</v>
      </c>
      <c r="Q18" s="3">
        <v>2083</v>
      </c>
      <c r="R18" s="3">
        <v>2077</v>
      </c>
      <c r="S18" s="3">
        <v>2071</v>
      </c>
      <c r="T18" s="3">
        <v>2064</v>
      </c>
      <c r="U18" s="3">
        <v>2058</v>
      </c>
      <c r="V18" s="3">
        <v>2052</v>
      </c>
      <c r="W18" s="3">
        <v>2047</v>
      </c>
      <c r="X18" s="3">
        <v>2041</v>
      </c>
      <c r="Y18" s="3">
        <v>2035</v>
      </c>
      <c r="Z18" s="3">
        <v>2030</v>
      </c>
      <c r="AA18" s="3">
        <v>2025</v>
      </c>
      <c r="AB18" s="3">
        <v>2020</v>
      </c>
      <c r="AC18" s="3">
        <v>2015</v>
      </c>
      <c r="AD18" s="3">
        <v>2010</v>
      </c>
      <c r="AE18" s="3">
        <v>2005</v>
      </c>
      <c r="AF18" s="3">
        <v>2000</v>
      </c>
      <c r="AG18" s="3">
        <v>1996</v>
      </c>
      <c r="AH18" s="3">
        <v>1991</v>
      </c>
      <c r="AI18" s="3">
        <v>1987</v>
      </c>
      <c r="AJ18" s="3">
        <v>1983</v>
      </c>
      <c r="AK18" s="3">
        <v>1979</v>
      </c>
      <c r="AL18" s="3">
        <v>1976</v>
      </c>
      <c r="AM18" s="3">
        <v>1972</v>
      </c>
      <c r="AN18" s="3">
        <v>1969</v>
      </c>
      <c r="AO18" s="3">
        <v>1965</v>
      </c>
      <c r="AP18" s="3">
        <v>1962</v>
      </c>
      <c r="AQ18" s="3">
        <v>1959</v>
      </c>
      <c r="AR18" s="3">
        <v>1956</v>
      </c>
      <c r="AS18" s="3">
        <v>1953</v>
      </c>
      <c r="AT18" s="3">
        <v>1950</v>
      </c>
      <c r="AU18" s="3">
        <v>1947</v>
      </c>
      <c r="AV18" s="3">
        <v>1944</v>
      </c>
      <c r="AW18" s="3">
        <v>1941</v>
      </c>
      <c r="AX18" s="3">
        <v>1938</v>
      </c>
      <c r="AY18" s="3">
        <v>1935</v>
      </c>
      <c r="AZ18" s="3">
        <v>1932</v>
      </c>
      <c r="BA18" s="3">
        <v>1930</v>
      </c>
      <c r="BB18" s="3">
        <v>1927</v>
      </c>
      <c r="BC18" s="3">
        <v>1924</v>
      </c>
      <c r="BD18" s="3">
        <v>1922</v>
      </c>
      <c r="BE18" s="3">
        <v>1919</v>
      </c>
      <c r="BF18" s="3">
        <v>1917</v>
      </c>
      <c r="BG18" s="3">
        <v>1914</v>
      </c>
      <c r="BH18" s="3">
        <v>1911</v>
      </c>
      <c r="BI18" s="3">
        <v>1909</v>
      </c>
      <c r="BJ18" s="3">
        <v>1906</v>
      </c>
      <c r="BK18" s="3">
        <v>1904</v>
      </c>
      <c r="BL18" s="3">
        <v>1901</v>
      </c>
      <c r="BM18" s="3">
        <v>1899</v>
      </c>
      <c r="BN18" s="3">
        <v>1896</v>
      </c>
    </row>
    <row r="19" spans="2:66" x14ac:dyDescent="0.35">
      <c r="B19">
        <v>32</v>
      </c>
      <c r="C19" s="3">
        <v>2105</v>
      </c>
      <c r="D19" s="3">
        <v>2098</v>
      </c>
      <c r="E19" s="3">
        <v>2092</v>
      </c>
      <c r="F19" s="3">
        <v>2085</v>
      </c>
      <c r="G19" s="3">
        <v>2078</v>
      </c>
      <c r="H19" s="3">
        <v>2071</v>
      </c>
      <c r="I19" s="3">
        <v>2064</v>
      </c>
      <c r="J19" s="3">
        <v>2057</v>
      </c>
      <c r="K19" s="3">
        <v>2050</v>
      </c>
      <c r="L19" s="3">
        <v>2044</v>
      </c>
      <c r="M19" s="3">
        <v>2037</v>
      </c>
      <c r="N19" s="3">
        <v>2030</v>
      </c>
      <c r="O19" s="3">
        <v>2024</v>
      </c>
      <c r="P19" s="3">
        <v>2017</v>
      </c>
      <c r="Q19" s="3">
        <v>2011</v>
      </c>
      <c r="R19" s="3">
        <v>2005</v>
      </c>
      <c r="S19" s="3">
        <v>1998</v>
      </c>
      <c r="T19" s="3">
        <v>1992</v>
      </c>
      <c r="U19" s="3">
        <v>1987</v>
      </c>
      <c r="V19" s="3">
        <v>1981</v>
      </c>
      <c r="W19" s="3">
        <v>1975</v>
      </c>
      <c r="X19" s="3">
        <v>1970</v>
      </c>
      <c r="Y19" s="3">
        <v>1964</v>
      </c>
      <c r="Z19" s="3">
        <v>1959</v>
      </c>
      <c r="AA19" s="3">
        <v>1954</v>
      </c>
      <c r="AB19" s="3">
        <v>1949</v>
      </c>
      <c r="AC19" s="3">
        <v>1944</v>
      </c>
      <c r="AD19" s="3">
        <v>1939</v>
      </c>
      <c r="AE19" s="3">
        <v>1935</v>
      </c>
      <c r="AF19" s="3">
        <v>1930</v>
      </c>
      <c r="AG19" s="3">
        <v>1926</v>
      </c>
      <c r="AH19" s="3">
        <v>1922</v>
      </c>
      <c r="AI19" s="3">
        <v>1917</v>
      </c>
      <c r="AJ19" s="3">
        <v>1914</v>
      </c>
      <c r="AK19" s="3">
        <v>1910</v>
      </c>
      <c r="AL19" s="3">
        <v>1907</v>
      </c>
      <c r="AM19" s="3">
        <v>1904</v>
      </c>
      <c r="AN19" s="3">
        <v>1900</v>
      </c>
      <c r="AO19" s="3">
        <v>1897</v>
      </c>
      <c r="AP19" s="3">
        <v>1894</v>
      </c>
      <c r="AQ19" s="3">
        <v>1891</v>
      </c>
      <c r="AR19" s="3">
        <v>1888</v>
      </c>
      <c r="AS19" s="3">
        <v>1885</v>
      </c>
      <c r="AT19" s="3">
        <v>1882</v>
      </c>
      <c r="AU19" s="3">
        <v>1879</v>
      </c>
      <c r="AV19" s="3">
        <v>1876</v>
      </c>
      <c r="AW19" s="3">
        <v>1874</v>
      </c>
      <c r="AX19" s="3">
        <v>1871</v>
      </c>
      <c r="AY19" s="3">
        <v>1868</v>
      </c>
      <c r="AZ19" s="3">
        <v>1865</v>
      </c>
      <c r="BA19" s="3">
        <v>1863</v>
      </c>
      <c r="BB19" s="3">
        <v>1860</v>
      </c>
      <c r="BC19" s="3">
        <v>1858</v>
      </c>
      <c r="BD19" s="3">
        <v>1855</v>
      </c>
      <c r="BE19" s="3">
        <v>1853</v>
      </c>
      <c r="BF19" s="3">
        <v>1850</v>
      </c>
      <c r="BG19" s="3">
        <v>1848</v>
      </c>
      <c r="BH19" s="3">
        <v>1845</v>
      </c>
      <c r="BI19" s="3">
        <v>1843</v>
      </c>
      <c r="BJ19" s="3">
        <v>1840</v>
      </c>
      <c r="BK19" s="3">
        <v>1838</v>
      </c>
      <c r="BL19" s="3">
        <v>1836</v>
      </c>
      <c r="BM19" s="3">
        <v>1833</v>
      </c>
      <c r="BN19" s="3">
        <v>1831</v>
      </c>
    </row>
    <row r="20" spans="2:66" x14ac:dyDescent="0.35">
      <c r="B20">
        <v>33</v>
      </c>
      <c r="C20" s="3">
        <v>2035</v>
      </c>
      <c r="D20" s="3">
        <v>2028</v>
      </c>
      <c r="E20" s="3">
        <v>2022</v>
      </c>
      <c r="F20" s="3">
        <v>2015</v>
      </c>
      <c r="G20" s="3">
        <v>2008</v>
      </c>
      <c r="H20" s="3">
        <v>2002</v>
      </c>
      <c r="I20" s="3">
        <v>1995</v>
      </c>
      <c r="J20" s="3">
        <v>1988</v>
      </c>
      <c r="K20" s="3">
        <v>1982</v>
      </c>
      <c r="L20" s="3">
        <v>1975</v>
      </c>
      <c r="M20" s="3">
        <v>1969</v>
      </c>
      <c r="N20" s="3">
        <v>1962</v>
      </c>
      <c r="O20" s="3">
        <v>1956</v>
      </c>
      <c r="P20" s="3">
        <v>1949</v>
      </c>
      <c r="Q20" s="3">
        <v>1943</v>
      </c>
      <c r="R20" s="3">
        <v>1937</v>
      </c>
      <c r="S20" s="3">
        <v>1931</v>
      </c>
      <c r="T20" s="3">
        <v>1925</v>
      </c>
      <c r="U20" s="3">
        <v>1920</v>
      </c>
      <c r="V20" s="3">
        <v>1914</v>
      </c>
      <c r="W20" s="3">
        <v>1909</v>
      </c>
      <c r="X20" s="3">
        <v>1903</v>
      </c>
      <c r="Y20" s="3">
        <v>1898</v>
      </c>
      <c r="Z20" s="3">
        <v>1893</v>
      </c>
      <c r="AA20" s="3">
        <v>1888</v>
      </c>
      <c r="AB20" s="3">
        <v>1883</v>
      </c>
      <c r="AC20" s="3">
        <v>1878</v>
      </c>
      <c r="AD20" s="3">
        <v>1874</v>
      </c>
      <c r="AE20" s="3">
        <v>1869</v>
      </c>
      <c r="AF20" s="3">
        <v>1865</v>
      </c>
      <c r="AG20" s="3">
        <v>1861</v>
      </c>
      <c r="AH20" s="3">
        <v>1857</v>
      </c>
      <c r="AI20" s="3">
        <v>1853</v>
      </c>
      <c r="AJ20" s="3">
        <v>1849</v>
      </c>
      <c r="AK20" s="3">
        <v>1846</v>
      </c>
      <c r="AL20" s="3">
        <v>1843</v>
      </c>
      <c r="AM20" s="3">
        <v>1839</v>
      </c>
      <c r="AN20" s="3">
        <v>1836</v>
      </c>
      <c r="AO20" s="3">
        <v>1833</v>
      </c>
      <c r="AP20" s="3">
        <v>1830</v>
      </c>
      <c r="AQ20" s="3">
        <v>1827</v>
      </c>
      <c r="AR20" s="3">
        <v>1824</v>
      </c>
      <c r="AS20" s="3">
        <v>1822</v>
      </c>
      <c r="AT20" s="3">
        <v>1819</v>
      </c>
      <c r="AU20" s="3">
        <v>1816</v>
      </c>
      <c r="AV20" s="3">
        <v>1813</v>
      </c>
      <c r="AW20" s="3">
        <v>1811</v>
      </c>
      <c r="AX20" s="3">
        <v>1808</v>
      </c>
      <c r="AY20" s="3">
        <v>1805</v>
      </c>
      <c r="AZ20" s="3">
        <v>1803</v>
      </c>
      <c r="BA20" s="3">
        <v>1800</v>
      </c>
      <c r="BB20" s="3">
        <v>1798</v>
      </c>
      <c r="BC20" s="3">
        <v>1795</v>
      </c>
      <c r="BD20" s="3">
        <v>1793</v>
      </c>
      <c r="BE20" s="3">
        <v>1790</v>
      </c>
      <c r="BF20" s="3">
        <v>1788</v>
      </c>
      <c r="BG20" s="3">
        <v>1786</v>
      </c>
      <c r="BH20" s="3">
        <v>1783</v>
      </c>
      <c r="BI20" s="3">
        <v>1781</v>
      </c>
      <c r="BJ20" s="3">
        <v>1779</v>
      </c>
      <c r="BK20" s="3">
        <v>1776</v>
      </c>
      <c r="BL20" s="3">
        <v>1774</v>
      </c>
      <c r="BM20" s="3">
        <v>1772</v>
      </c>
      <c r="BN20" s="3">
        <v>1769</v>
      </c>
    </row>
    <row r="21" spans="2:66" x14ac:dyDescent="0.35">
      <c r="B21">
        <v>34</v>
      </c>
      <c r="C21" s="3">
        <v>1969</v>
      </c>
      <c r="D21" s="3">
        <v>1963</v>
      </c>
      <c r="E21" s="3">
        <v>1956</v>
      </c>
      <c r="F21" s="3">
        <v>1950</v>
      </c>
      <c r="G21" s="3">
        <v>1943</v>
      </c>
      <c r="H21" s="3">
        <v>1937</v>
      </c>
      <c r="I21" s="3">
        <v>1930</v>
      </c>
      <c r="J21" s="3">
        <v>1924</v>
      </c>
      <c r="K21" s="3">
        <v>1917</v>
      </c>
      <c r="L21" s="3">
        <v>1911</v>
      </c>
      <c r="M21" s="3">
        <v>1905</v>
      </c>
      <c r="N21" s="3">
        <v>1898</v>
      </c>
      <c r="O21" s="3">
        <v>1892</v>
      </c>
      <c r="P21" s="3">
        <v>1886</v>
      </c>
      <c r="Q21" s="3">
        <v>1880</v>
      </c>
      <c r="R21" s="3">
        <v>1874</v>
      </c>
      <c r="S21" s="3">
        <v>1868</v>
      </c>
      <c r="T21" s="3">
        <v>1863</v>
      </c>
      <c r="U21" s="3">
        <v>1857</v>
      </c>
      <c r="V21" s="3">
        <v>1852</v>
      </c>
      <c r="W21" s="3">
        <v>1846</v>
      </c>
      <c r="X21" s="3">
        <v>1841</v>
      </c>
      <c r="Y21" s="3">
        <v>1836</v>
      </c>
      <c r="Z21" s="3">
        <v>1831</v>
      </c>
      <c r="AA21" s="3">
        <v>1826</v>
      </c>
      <c r="AB21" s="3">
        <v>1822</v>
      </c>
      <c r="AC21" s="3">
        <v>1817</v>
      </c>
      <c r="AD21" s="3">
        <v>1812</v>
      </c>
      <c r="AE21" s="3">
        <v>1808</v>
      </c>
      <c r="AF21" s="3">
        <v>1804</v>
      </c>
      <c r="AG21" s="3">
        <v>1800</v>
      </c>
      <c r="AH21" s="3">
        <v>1796</v>
      </c>
      <c r="AI21" s="3">
        <v>1793</v>
      </c>
      <c r="AJ21" s="3">
        <v>1789</v>
      </c>
      <c r="AK21" s="3">
        <v>1786</v>
      </c>
      <c r="AL21" s="3">
        <v>1783</v>
      </c>
      <c r="AM21" s="3">
        <v>1780</v>
      </c>
      <c r="AN21" s="3">
        <v>1777</v>
      </c>
      <c r="AO21" s="3">
        <v>1774</v>
      </c>
      <c r="AP21" s="3">
        <v>1771</v>
      </c>
      <c r="AQ21" s="3">
        <v>1768</v>
      </c>
      <c r="AR21" s="3">
        <v>1765</v>
      </c>
      <c r="AS21" s="3">
        <v>1762</v>
      </c>
      <c r="AT21" s="3">
        <v>1760</v>
      </c>
      <c r="AU21" s="3">
        <v>1757</v>
      </c>
      <c r="AV21" s="3">
        <v>1754</v>
      </c>
      <c r="AW21" s="3">
        <v>1752</v>
      </c>
      <c r="AX21" s="3">
        <v>1749</v>
      </c>
      <c r="AY21" s="3">
        <v>1747</v>
      </c>
      <c r="AZ21" s="3">
        <v>1744</v>
      </c>
      <c r="BA21" s="3">
        <v>1742</v>
      </c>
      <c r="BB21" s="3">
        <v>1739</v>
      </c>
      <c r="BC21" s="3">
        <v>1737</v>
      </c>
      <c r="BD21" s="3">
        <v>1734</v>
      </c>
      <c r="BE21" s="3">
        <v>1732</v>
      </c>
      <c r="BF21" s="3">
        <v>1730</v>
      </c>
      <c r="BG21" s="3">
        <v>1727</v>
      </c>
      <c r="BH21" s="3">
        <v>1725</v>
      </c>
      <c r="BI21" s="3">
        <v>1723</v>
      </c>
      <c r="BJ21" s="3">
        <v>1721</v>
      </c>
      <c r="BK21" s="3">
        <v>1718</v>
      </c>
      <c r="BL21" s="3">
        <v>1716</v>
      </c>
      <c r="BM21" s="3">
        <v>1714</v>
      </c>
      <c r="BN21" s="3">
        <v>1712</v>
      </c>
    </row>
    <row r="22" spans="2:66" x14ac:dyDescent="0.35">
      <c r="B22">
        <v>35</v>
      </c>
      <c r="C22" s="3">
        <v>1908</v>
      </c>
      <c r="D22" s="3">
        <v>1902</v>
      </c>
      <c r="E22" s="3">
        <v>1895</v>
      </c>
      <c r="F22" s="3">
        <v>1889</v>
      </c>
      <c r="G22" s="3">
        <v>1883</v>
      </c>
      <c r="H22" s="3">
        <v>1877</v>
      </c>
      <c r="I22" s="3">
        <v>1870</v>
      </c>
      <c r="J22" s="3">
        <v>1864</v>
      </c>
      <c r="K22" s="3">
        <v>1858</v>
      </c>
      <c r="L22" s="3">
        <v>1851</v>
      </c>
      <c r="M22" s="3">
        <v>1845</v>
      </c>
      <c r="N22" s="3">
        <v>1839</v>
      </c>
      <c r="O22" s="3">
        <v>1833</v>
      </c>
      <c r="P22" s="3">
        <v>1827</v>
      </c>
      <c r="Q22" s="3">
        <v>1821</v>
      </c>
      <c r="R22" s="3">
        <v>1815</v>
      </c>
      <c r="S22" s="3">
        <v>1810</v>
      </c>
      <c r="T22" s="3">
        <v>1804</v>
      </c>
      <c r="U22" s="3">
        <v>1799</v>
      </c>
      <c r="V22" s="3">
        <v>1793</v>
      </c>
      <c r="W22" s="3">
        <v>1788</v>
      </c>
      <c r="X22" s="3">
        <v>1783</v>
      </c>
      <c r="Y22" s="3">
        <v>1778</v>
      </c>
      <c r="Z22" s="3">
        <v>1773</v>
      </c>
      <c r="AA22" s="3">
        <v>1769</v>
      </c>
      <c r="AB22" s="3">
        <v>1764</v>
      </c>
      <c r="AC22" s="3">
        <v>1759</v>
      </c>
      <c r="AD22" s="3">
        <v>1755</v>
      </c>
      <c r="AE22" s="3">
        <v>1751</v>
      </c>
      <c r="AF22" s="3">
        <v>1747</v>
      </c>
      <c r="AG22" s="3">
        <v>1743</v>
      </c>
      <c r="AH22" s="3">
        <v>1740</v>
      </c>
      <c r="AI22" s="3">
        <v>1736</v>
      </c>
      <c r="AJ22" s="3">
        <v>1733</v>
      </c>
      <c r="AK22" s="3">
        <v>1730</v>
      </c>
      <c r="AL22" s="3">
        <v>1727</v>
      </c>
      <c r="AM22" s="3">
        <v>1724</v>
      </c>
      <c r="AN22" s="3">
        <v>1721</v>
      </c>
      <c r="AO22" s="3">
        <v>1718</v>
      </c>
      <c r="AP22" s="3">
        <v>1715</v>
      </c>
      <c r="AQ22" s="3">
        <v>1712</v>
      </c>
      <c r="AR22" s="3">
        <v>1709</v>
      </c>
      <c r="AS22" s="3">
        <v>1707</v>
      </c>
      <c r="AT22" s="3">
        <v>1704</v>
      </c>
      <c r="AU22" s="3">
        <v>1702</v>
      </c>
      <c r="AV22" s="3">
        <v>1699</v>
      </c>
      <c r="AW22" s="3">
        <v>1697</v>
      </c>
      <c r="AX22" s="3">
        <v>1694</v>
      </c>
      <c r="AY22" s="3">
        <v>1692</v>
      </c>
      <c r="AZ22" s="3">
        <v>1689</v>
      </c>
      <c r="BA22" s="3">
        <v>1687</v>
      </c>
      <c r="BB22" s="3">
        <v>1684</v>
      </c>
      <c r="BC22" s="3">
        <v>1682</v>
      </c>
      <c r="BD22" s="3">
        <v>1680</v>
      </c>
      <c r="BE22" s="3">
        <v>1678</v>
      </c>
      <c r="BF22" s="3">
        <v>1675</v>
      </c>
      <c r="BG22" s="3">
        <v>1673</v>
      </c>
      <c r="BH22" s="3">
        <v>1671</v>
      </c>
      <c r="BI22" s="3">
        <v>1669</v>
      </c>
      <c r="BJ22" s="3">
        <v>1666</v>
      </c>
      <c r="BK22" s="3">
        <v>1664</v>
      </c>
      <c r="BL22" s="3">
        <v>1662</v>
      </c>
      <c r="BM22" s="3">
        <v>1660</v>
      </c>
      <c r="BN22" s="3">
        <v>1658</v>
      </c>
    </row>
    <row r="23" spans="2:66" x14ac:dyDescent="0.35">
      <c r="B23">
        <v>36</v>
      </c>
      <c r="C23" s="3">
        <v>1851</v>
      </c>
      <c r="D23" s="3">
        <v>1845</v>
      </c>
      <c r="E23" s="3">
        <v>1839</v>
      </c>
      <c r="F23" s="3">
        <v>1833</v>
      </c>
      <c r="G23" s="3">
        <v>1826</v>
      </c>
      <c r="H23" s="3">
        <v>1820</v>
      </c>
      <c r="I23" s="3">
        <v>1814</v>
      </c>
      <c r="J23" s="3">
        <v>1808</v>
      </c>
      <c r="K23" s="3">
        <v>1802</v>
      </c>
      <c r="L23" s="3">
        <v>1796</v>
      </c>
      <c r="M23" s="3">
        <v>1789</v>
      </c>
      <c r="N23" s="3">
        <v>1783</v>
      </c>
      <c r="O23" s="3">
        <v>1778</v>
      </c>
      <c r="P23" s="3">
        <v>1772</v>
      </c>
      <c r="Q23" s="3">
        <v>1766</v>
      </c>
      <c r="R23" s="3">
        <v>1760</v>
      </c>
      <c r="S23" s="3">
        <v>1755</v>
      </c>
      <c r="T23" s="3">
        <v>1749</v>
      </c>
      <c r="U23" s="3">
        <v>1744</v>
      </c>
      <c r="V23" s="3">
        <v>1739</v>
      </c>
      <c r="W23" s="3">
        <v>1734</v>
      </c>
      <c r="X23" s="3">
        <v>1729</v>
      </c>
      <c r="Y23" s="3">
        <v>1724</v>
      </c>
      <c r="Z23" s="3">
        <v>1719</v>
      </c>
      <c r="AA23" s="3">
        <v>1715</v>
      </c>
      <c r="AB23" s="3">
        <v>1710</v>
      </c>
      <c r="AC23" s="3">
        <v>1706</v>
      </c>
      <c r="AD23" s="3">
        <v>1702</v>
      </c>
      <c r="AE23" s="3">
        <v>1697</v>
      </c>
      <c r="AF23" s="3">
        <v>1694</v>
      </c>
      <c r="AG23" s="3">
        <v>1690</v>
      </c>
      <c r="AH23" s="3">
        <v>1687</v>
      </c>
      <c r="AI23" s="3">
        <v>1684</v>
      </c>
      <c r="AJ23" s="3">
        <v>1680</v>
      </c>
      <c r="AK23" s="3">
        <v>1677</v>
      </c>
      <c r="AL23" s="3">
        <v>1674</v>
      </c>
      <c r="AM23" s="3">
        <v>1671</v>
      </c>
      <c r="AN23" s="3">
        <v>1668</v>
      </c>
      <c r="AO23" s="3">
        <v>1666</v>
      </c>
      <c r="AP23" s="3">
        <v>1663</v>
      </c>
      <c r="AQ23" s="3">
        <v>1660</v>
      </c>
      <c r="AR23" s="3">
        <v>1657</v>
      </c>
      <c r="AS23" s="3">
        <v>1655</v>
      </c>
      <c r="AT23" s="3">
        <v>1652</v>
      </c>
      <c r="AU23" s="3">
        <v>1650</v>
      </c>
      <c r="AV23" s="3">
        <v>1647</v>
      </c>
      <c r="AW23" s="3">
        <v>1645</v>
      </c>
      <c r="AX23" s="3">
        <v>1642</v>
      </c>
      <c r="AY23" s="3">
        <v>1640</v>
      </c>
      <c r="AZ23" s="3">
        <v>1638</v>
      </c>
      <c r="BA23" s="3">
        <v>1635</v>
      </c>
      <c r="BB23" s="3">
        <v>1633</v>
      </c>
      <c r="BC23" s="3">
        <v>1631</v>
      </c>
      <c r="BD23" s="3">
        <v>1629</v>
      </c>
      <c r="BE23" s="3">
        <v>1626</v>
      </c>
      <c r="BF23" s="3">
        <v>1624</v>
      </c>
      <c r="BG23" s="3">
        <v>1622</v>
      </c>
      <c r="BH23" s="3">
        <v>1620</v>
      </c>
      <c r="BI23" s="3">
        <v>1618</v>
      </c>
      <c r="BJ23" s="3">
        <v>1616</v>
      </c>
      <c r="BK23" s="3">
        <v>1613</v>
      </c>
      <c r="BL23" s="3">
        <v>1611</v>
      </c>
      <c r="BM23" s="3">
        <v>1609</v>
      </c>
      <c r="BN23" s="3">
        <v>1607</v>
      </c>
    </row>
    <row r="24" spans="2:66" x14ac:dyDescent="0.35">
      <c r="B24">
        <v>37</v>
      </c>
      <c r="C24" s="3">
        <v>1798</v>
      </c>
      <c r="D24" s="3">
        <v>1792</v>
      </c>
      <c r="E24" s="3">
        <v>1786</v>
      </c>
      <c r="F24" s="3">
        <v>1780</v>
      </c>
      <c r="G24" s="3">
        <v>1774</v>
      </c>
      <c r="H24" s="3">
        <v>1768</v>
      </c>
      <c r="I24" s="3">
        <v>1761</v>
      </c>
      <c r="J24" s="3">
        <v>1755</v>
      </c>
      <c r="K24" s="3">
        <v>1749</v>
      </c>
      <c r="L24" s="3">
        <v>1743</v>
      </c>
      <c r="M24" s="3">
        <v>1738</v>
      </c>
      <c r="N24" s="3">
        <v>1732</v>
      </c>
      <c r="O24" s="3">
        <v>1726</v>
      </c>
      <c r="P24" s="3">
        <v>1720</v>
      </c>
      <c r="Q24" s="3">
        <v>1715</v>
      </c>
      <c r="R24" s="3">
        <v>1709</v>
      </c>
      <c r="S24" s="3">
        <v>1704</v>
      </c>
      <c r="T24" s="3">
        <v>1698</v>
      </c>
      <c r="U24" s="3">
        <v>1693</v>
      </c>
      <c r="V24" s="3">
        <v>1688</v>
      </c>
      <c r="W24" s="3">
        <v>1683</v>
      </c>
      <c r="X24" s="3">
        <v>1678</v>
      </c>
      <c r="Y24" s="3">
        <v>1673</v>
      </c>
      <c r="Z24" s="3">
        <v>1669</v>
      </c>
      <c r="AA24" s="3">
        <v>1664</v>
      </c>
      <c r="AB24" s="3">
        <v>1660</v>
      </c>
      <c r="AC24" s="3">
        <v>1656</v>
      </c>
      <c r="AD24" s="3">
        <v>1651</v>
      </c>
      <c r="AE24" s="3">
        <v>1648</v>
      </c>
      <c r="AF24" s="3">
        <v>1644</v>
      </c>
      <c r="AG24" s="3">
        <v>1641</v>
      </c>
      <c r="AH24" s="3">
        <v>1638</v>
      </c>
      <c r="AI24" s="3">
        <v>1634</v>
      </c>
      <c r="AJ24" s="3">
        <v>1631</v>
      </c>
      <c r="AK24" s="3">
        <v>1628</v>
      </c>
      <c r="AL24" s="3">
        <v>1625</v>
      </c>
      <c r="AM24" s="3">
        <v>1622</v>
      </c>
      <c r="AN24" s="3">
        <v>1620</v>
      </c>
      <c r="AO24" s="3">
        <v>1617</v>
      </c>
      <c r="AP24" s="3">
        <v>1614</v>
      </c>
      <c r="AQ24" s="3">
        <v>1611</v>
      </c>
      <c r="AR24" s="3">
        <v>1609</v>
      </c>
      <c r="AS24" s="3">
        <v>1606</v>
      </c>
      <c r="AT24" s="3">
        <v>1604</v>
      </c>
      <c r="AU24" s="3">
        <v>1601</v>
      </c>
      <c r="AV24" s="3">
        <v>1599</v>
      </c>
      <c r="AW24" s="3">
        <v>1597</v>
      </c>
      <c r="AX24" s="3">
        <v>1594</v>
      </c>
      <c r="AY24" s="3">
        <v>1592</v>
      </c>
      <c r="AZ24" s="3">
        <v>1590</v>
      </c>
      <c r="BA24" s="3">
        <v>1587</v>
      </c>
      <c r="BB24" s="3">
        <v>1585</v>
      </c>
      <c r="BC24" s="3">
        <v>1583</v>
      </c>
      <c r="BD24" s="3">
        <v>1581</v>
      </c>
      <c r="BE24" s="3">
        <v>1578</v>
      </c>
      <c r="BF24" s="3">
        <v>1576</v>
      </c>
      <c r="BG24" s="3">
        <v>1574</v>
      </c>
      <c r="BH24" s="3">
        <v>1572</v>
      </c>
      <c r="BI24" s="3">
        <v>1570</v>
      </c>
      <c r="BJ24" s="3">
        <v>1568</v>
      </c>
      <c r="BK24" s="3">
        <v>1566</v>
      </c>
      <c r="BL24" s="3">
        <v>1564</v>
      </c>
      <c r="BM24" s="3">
        <v>1562</v>
      </c>
      <c r="BN24" s="3">
        <v>1560</v>
      </c>
    </row>
    <row r="25" spans="2:66" x14ac:dyDescent="0.35">
      <c r="B25">
        <v>38</v>
      </c>
      <c r="C25" s="3">
        <v>1748</v>
      </c>
      <c r="D25" s="3">
        <v>1742</v>
      </c>
      <c r="E25" s="3">
        <v>1736</v>
      </c>
      <c r="F25" s="3">
        <v>1730</v>
      </c>
      <c r="G25" s="3">
        <v>1724</v>
      </c>
      <c r="H25" s="3">
        <v>1718</v>
      </c>
      <c r="I25" s="3">
        <v>1712</v>
      </c>
      <c r="J25" s="3">
        <v>1706</v>
      </c>
      <c r="K25" s="3">
        <v>1701</v>
      </c>
      <c r="L25" s="3">
        <v>1695</v>
      </c>
      <c r="M25" s="3">
        <v>1689</v>
      </c>
      <c r="N25" s="3">
        <v>1683</v>
      </c>
      <c r="O25" s="3">
        <v>1677</v>
      </c>
      <c r="P25" s="3">
        <v>1672</v>
      </c>
      <c r="Q25" s="3">
        <v>1666</v>
      </c>
      <c r="R25" s="3">
        <v>1661</v>
      </c>
      <c r="S25" s="3">
        <v>1656</v>
      </c>
      <c r="T25" s="3">
        <v>1650</v>
      </c>
      <c r="U25" s="3">
        <v>1645</v>
      </c>
      <c r="V25" s="3">
        <v>1640</v>
      </c>
      <c r="W25" s="3">
        <v>1635</v>
      </c>
      <c r="X25" s="3">
        <v>1631</v>
      </c>
      <c r="Y25" s="3">
        <v>1626</v>
      </c>
      <c r="Z25" s="3">
        <v>1621</v>
      </c>
      <c r="AA25" s="3">
        <v>1617</v>
      </c>
      <c r="AB25" s="3">
        <v>1613</v>
      </c>
      <c r="AC25" s="3">
        <v>1609</v>
      </c>
      <c r="AD25" s="3">
        <v>1605</v>
      </c>
      <c r="AE25" s="3">
        <v>1601</v>
      </c>
      <c r="AF25" s="3">
        <v>1598</v>
      </c>
      <c r="AG25" s="3">
        <v>1595</v>
      </c>
      <c r="AH25" s="3">
        <v>1591</v>
      </c>
      <c r="AI25" s="3">
        <v>1588</v>
      </c>
      <c r="AJ25" s="3">
        <v>1585</v>
      </c>
      <c r="AK25" s="3">
        <v>1582</v>
      </c>
      <c r="AL25" s="3">
        <v>1579</v>
      </c>
      <c r="AM25" s="3">
        <v>1576</v>
      </c>
      <c r="AN25" s="3">
        <v>1574</v>
      </c>
      <c r="AO25" s="3">
        <v>1571</v>
      </c>
      <c r="AP25" s="3">
        <v>1568</v>
      </c>
      <c r="AQ25" s="3">
        <v>1566</v>
      </c>
      <c r="AR25" s="3">
        <v>1563</v>
      </c>
      <c r="AS25" s="3">
        <v>1561</v>
      </c>
      <c r="AT25" s="3">
        <v>1558</v>
      </c>
      <c r="AU25" s="3">
        <v>1556</v>
      </c>
      <c r="AV25" s="3">
        <v>1554</v>
      </c>
      <c r="AW25" s="3">
        <v>1551</v>
      </c>
      <c r="AX25" s="3">
        <v>1549</v>
      </c>
      <c r="AY25" s="3">
        <v>1547</v>
      </c>
      <c r="AZ25" s="3">
        <v>1544</v>
      </c>
      <c r="BA25" s="3">
        <v>1542</v>
      </c>
      <c r="BB25" s="3">
        <v>1540</v>
      </c>
      <c r="BC25" s="3">
        <v>1538</v>
      </c>
      <c r="BD25" s="3">
        <v>1536</v>
      </c>
      <c r="BE25" s="3">
        <v>1533</v>
      </c>
      <c r="BF25" s="3">
        <v>1531</v>
      </c>
      <c r="BG25" s="3">
        <v>1529</v>
      </c>
      <c r="BH25" s="3">
        <v>1527</v>
      </c>
      <c r="BI25" s="3">
        <v>1525</v>
      </c>
      <c r="BJ25" s="3">
        <v>1523</v>
      </c>
      <c r="BK25" s="3">
        <v>1521</v>
      </c>
      <c r="BL25" s="3">
        <v>1519</v>
      </c>
      <c r="BM25" s="3">
        <v>1517</v>
      </c>
      <c r="BN25" s="3">
        <v>1515</v>
      </c>
    </row>
    <row r="26" spans="2:66" x14ac:dyDescent="0.35">
      <c r="B26">
        <v>39</v>
      </c>
      <c r="C26" s="3">
        <v>1701</v>
      </c>
      <c r="D26" s="3">
        <v>1695</v>
      </c>
      <c r="E26" s="3">
        <v>1690</v>
      </c>
      <c r="F26" s="3">
        <v>1684</v>
      </c>
      <c r="G26" s="3">
        <v>1678</v>
      </c>
      <c r="H26" s="3">
        <v>1672</v>
      </c>
      <c r="I26" s="3">
        <v>1666</v>
      </c>
      <c r="J26" s="3">
        <v>1660</v>
      </c>
      <c r="K26" s="3">
        <v>1655</v>
      </c>
      <c r="L26" s="3">
        <v>1649</v>
      </c>
      <c r="M26" s="3">
        <v>1643</v>
      </c>
      <c r="N26" s="3">
        <v>1638</v>
      </c>
      <c r="O26" s="3">
        <v>1632</v>
      </c>
      <c r="P26" s="3">
        <v>1626</v>
      </c>
      <c r="Q26" s="3">
        <v>1621</v>
      </c>
      <c r="R26" s="3">
        <v>1616</v>
      </c>
      <c r="S26" s="3">
        <v>1611</v>
      </c>
      <c r="T26" s="3">
        <v>1605</v>
      </c>
      <c r="U26" s="3">
        <v>1600</v>
      </c>
      <c r="V26" s="3">
        <v>1595</v>
      </c>
      <c r="W26" s="3">
        <v>1591</v>
      </c>
      <c r="X26" s="3">
        <v>1586</v>
      </c>
      <c r="Y26" s="3">
        <v>1581</v>
      </c>
      <c r="Z26" s="3">
        <v>1577</v>
      </c>
      <c r="AA26" s="3">
        <v>1573</v>
      </c>
      <c r="AB26" s="3">
        <v>1568</v>
      </c>
      <c r="AC26" s="3">
        <v>1565</v>
      </c>
      <c r="AD26" s="3">
        <v>1561</v>
      </c>
      <c r="AE26" s="3">
        <v>1558</v>
      </c>
      <c r="AF26" s="3">
        <v>1554</v>
      </c>
      <c r="AG26" s="3">
        <v>1551</v>
      </c>
      <c r="AH26" s="3">
        <v>1548</v>
      </c>
      <c r="AI26" s="3">
        <v>1545</v>
      </c>
      <c r="AJ26" s="3">
        <v>1542</v>
      </c>
      <c r="AK26" s="3">
        <v>1539</v>
      </c>
      <c r="AL26" s="3">
        <v>1536</v>
      </c>
      <c r="AM26" s="3">
        <v>1533</v>
      </c>
      <c r="AN26" s="3">
        <v>1531</v>
      </c>
      <c r="AO26" s="3">
        <v>1528</v>
      </c>
      <c r="AP26" s="3">
        <v>1525</v>
      </c>
      <c r="AQ26" s="3">
        <v>1523</v>
      </c>
      <c r="AR26" s="3">
        <v>1520</v>
      </c>
      <c r="AS26" s="3">
        <v>1518</v>
      </c>
      <c r="AT26" s="3">
        <v>1515</v>
      </c>
      <c r="AU26" s="3">
        <v>1513</v>
      </c>
      <c r="AV26" s="3">
        <v>1511</v>
      </c>
      <c r="AW26" s="3">
        <v>1508</v>
      </c>
      <c r="AX26" s="3">
        <v>1506</v>
      </c>
      <c r="AY26" s="3">
        <v>1504</v>
      </c>
      <c r="AZ26" s="3">
        <v>1502</v>
      </c>
      <c r="BA26" s="3">
        <v>1500</v>
      </c>
      <c r="BB26" s="3">
        <v>1497</v>
      </c>
      <c r="BC26" s="3">
        <v>1495</v>
      </c>
      <c r="BD26" s="3">
        <v>1493</v>
      </c>
      <c r="BE26" s="3">
        <v>1491</v>
      </c>
      <c r="BF26" s="3">
        <v>1489</v>
      </c>
      <c r="BG26" s="3">
        <v>1487</v>
      </c>
      <c r="BH26" s="3">
        <v>1485</v>
      </c>
      <c r="BI26" s="3">
        <v>1483</v>
      </c>
      <c r="BJ26" s="3">
        <v>1481</v>
      </c>
      <c r="BK26" s="3">
        <v>1479</v>
      </c>
      <c r="BL26" s="3">
        <v>1477</v>
      </c>
      <c r="BM26" s="3">
        <v>1475</v>
      </c>
      <c r="BN26" s="3">
        <v>1473</v>
      </c>
    </row>
    <row r="27" spans="2:66" x14ac:dyDescent="0.35">
      <c r="B27">
        <v>40</v>
      </c>
      <c r="C27" s="3">
        <v>1657</v>
      </c>
      <c r="D27" s="3">
        <v>1651</v>
      </c>
      <c r="E27" s="3">
        <v>1646</v>
      </c>
      <c r="F27" s="3">
        <v>1640</v>
      </c>
      <c r="G27" s="3">
        <v>1634</v>
      </c>
      <c r="H27" s="3">
        <v>1629</v>
      </c>
      <c r="I27" s="3">
        <v>1623</v>
      </c>
      <c r="J27" s="3">
        <v>1617</v>
      </c>
      <c r="K27" s="3">
        <v>1611</v>
      </c>
      <c r="L27" s="3">
        <v>1606</v>
      </c>
      <c r="M27" s="3">
        <v>1600</v>
      </c>
      <c r="N27" s="3">
        <v>1595</v>
      </c>
      <c r="O27" s="3">
        <v>1589</v>
      </c>
      <c r="P27" s="3">
        <v>1584</v>
      </c>
      <c r="Q27" s="3">
        <v>1578</v>
      </c>
      <c r="R27" s="3">
        <v>1573</v>
      </c>
      <c r="S27" s="3">
        <v>1568</v>
      </c>
      <c r="T27" s="3">
        <v>1563</v>
      </c>
      <c r="U27" s="3">
        <v>1558</v>
      </c>
      <c r="V27" s="3">
        <v>1553</v>
      </c>
      <c r="W27" s="3">
        <v>1549</v>
      </c>
      <c r="X27" s="3">
        <v>1544</v>
      </c>
      <c r="Y27" s="3">
        <v>1539</v>
      </c>
      <c r="Z27" s="3">
        <v>1535</v>
      </c>
      <c r="AA27" s="3">
        <v>1531</v>
      </c>
      <c r="AB27" s="3">
        <v>1527</v>
      </c>
      <c r="AC27" s="3">
        <v>1523</v>
      </c>
      <c r="AD27" s="3">
        <v>1520</v>
      </c>
      <c r="AE27" s="3">
        <v>1517</v>
      </c>
      <c r="AF27" s="3">
        <v>1513</v>
      </c>
      <c r="AG27" s="3">
        <v>1510</v>
      </c>
      <c r="AH27" s="3">
        <v>1507</v>
      </c>
      <c r="AI27" s="3">
        <v>1504</v>
      </c>
      <c r="AJ27" s="3">
        <v>1501</v>
      </c>
      <c r="AK27" s="3">
        <v>1498</v>
      </c>
      <c r="AL27" s="3">
        <v>1495</v>
      </c>
      <c r="AM27" s="3">
        <v>1492</v>
      </c>
      <c r="AN27" s="3">
        <v>1490</v>
      </c>
      <c r="AO27" s="3">
        <v>1487</v>
      </c>
      <c r="AP27" s="3">
        <v>1485</v>
      </c>
      <c r="AQ27" s="3">
        <v>1482</v>
      </c>
      <c r="AR27" s="3">
        <v>1480</v>
      </c>
      <c r="AS27" s="3">
        <v>1477</v>
      </c>
      <c r="AT27" s="3">
        <v>1475</v>
      </c>
      <c r="AU27" s="3">
        <v>1473</v>
      </c>
      <c r="AV27" s="3">
        <v>1470</v>
      </c>
      <c r="AW27" s="3">
        <v>1468</v>
      </c>
      <c r="AX27" s="3">
        <v>1466</v>
      </c>
      <c r="AY27" s="3">
        <v>1464</v>
      </c>
      <c r="AZ27" s="3">
        <v>1462</v>
      </c>
      <c r="BA27" s="3">
        <v>1459</v>
      </c>
      <c r="BB27" s="3">
        <v>1457</v>
      </c>
      <c r="BC27" s="3">
        <v>1455</v>
      </c>
      <c r="BD27" s="3">
        <v>1453</v>
      </c>
      <c r="BE27" s="3">
        <v>1451</v>
      </c>
      <c r="BF27" s="3">
        <v>1449</v>
      </c>
      <c r="BG27" s="3">
        <v>1447</v>
      </c>
      <c r="BH27" s="3">
        <v>1445</v>
      </c>
      <c r="BI27" s="3">
        <v>1443</v>
      </c>
      <c r="BJ27" s="3">
        <v>1441</v>
      </c>
      <c r="BK27" s="3">
        <v>1439</v>
      </c>
      <c r="BL27" s="3">
        <v>1437</v>
      </c>
      <c r="BM27" s="3">
        <v>1435</v>
      </c>
      <c r="BN27" s="3">
        <v>1433</v>
      </c>
    </row>
    <row r="28" spans="2:66" x14ac:dyDescent="0.35">
      <c r="B28">
        <v>41</v>
      </c>
      <c r="C28" s="3">
        <v>1615</v>
      </c>
      <c r="D28" s="3">
        <v>1610</v>
      </c>
      <c r="E28" s="3">
        <v>1604</v>
      </c>
      <c r="F28" s="3">
        <v>1599</v>
      </c>
      <c r="G28" s="3">
        <v>1593</v>
      </c>
      <c r="H28" s="3">
        <v>1587</v>
      </c>
      <c r="I28" s="3">
        <v>1582</v>
      </c>
      <c r="J28" s="3">
        <v>1576</v>
      </c>
      <c r="K28" s="3">
        <v>1570</v>
      </c>
      <c r="L28" s="3">
        <v>1565</v>
      </c>
      <c r="M28" s="3">
        <v>1559</v>
      </c>
      <c r="N28" s="3">
        <v>1554</v>
      </c>
      <c r="O28" s="3">
        <v>1549</v>
      </c>
      <c r="P28" s="3">
        <v>1543</v>
      </c>
      <c r="Q28" s="3">
        <v>1538</v>
      </c>
      <c r="R28" s="3">
        <v>1533</v>
      </c>
      <c r="S28" s="3">
        <v>1528</v>
      </c>
      <c r="T28" s="3">
        <v>1523</v>
      </c>
      <c r="U28" s="3">
        <v>1518</v>
      </c>
      <c r="V28" s="3">
        <v>1513</v>
      </c>
      <c r="W28" s="3">
        <v>1509</v>
      </c>
      <c r="X28" s="3">
        <v>1504</v>
      </c>
      <c r="Y28" s="3">
        <v>1500</v>
      </c>
      <c r="Z28" s="3">
        <v>1495</v>
      </c>
      <c r="AA28" s="3">
        <v>1492</v>
      </c>
      <c r="AB28" s="3">
        <v>1488</v>
      </c>
      <c r="AC28" s="3">
        <v>1484</v>
      </c>
      <c r="AD28" s="3">
        <v>1481</v>
      </c>
      <c r="AE28" s="3">
        <v>1478</v>
      </c>
      <c r="AF28" s="3">
        <v>1474</v>
      </c>
      <c r="AG28" s="3">
        <v>1471</v>
      </c>
      <c r="AH28" s="3">
        <v>1468</v>
      </c>
      <c r="AI28" s="3">
        <v>1465</v>
      </c>
      <c r="AJ28" s="3">
        <v>1462</v>
      </c>
      <c r="AK28" s="3">
        <v>1459</v>
      </c>
      <c r="AL28" s="3">
        <v>1457</v>
      </c>
      <c r="AM28" s="3">
        <v>1454</v>
      </c>
      <c r="AN28" s="3">
        <v>1451</v>
      </c>
      <c r="AO28" s="3">
        <v>1449</v>
      </c>
      <c r="AP28" s="3">
        <v>1446</v>
      </c>
      <c r="AQ28" s="3">
        <v>1444</v>
      </c>
      <c r="AR28" s="3">
        <v>1441</v>
      </c>
      <c r="AS28" s="3">
        <v>1439</v>
      </c>
      <c r="AT28" s="3">
        <v>1437</v>
      </c>
      <c r="AU28" s="3">
        <v>1435</v>
      </c>
      <c r="AV28" s="3">
        <v>1432</v>
      </c>
      <c r="AW28" s="3">
        <v>1430</v>
      </c>
      <c r="AX28" s="3">
        <v>1428</v>
      </c>
      <c r="AY28" s="3">
        <v>1426</v>
      </c>
      <c r="AZ28" s="3">
        <v>1424</v>
      </c>
      <c r="BA28" s="3">
        <v>1421</v>
      </c>
      <c r="BB28" s="3">
        <v>1419</v>
      </c>
      <c r="BC28" s="3">
        <v>1417</v>
      </c>
      <c r="BD28" s="3">
        <v>1415</v>
      </c>
      <c r="BE28" s="3">
        <v>1413</v>
      </c>
      <c r="BF28" s="3">
        <v>1411</v>
      </c>
      <c r="BG28" s="3">
        <v>1409</v>
      </c>
      <c r="BH28" s="3">
        <v>1407</v>
      </c>
      <c r="BI28" s="3">
        <v>1405</v>
      </c>
      <c r="BJ28" s="3">
        <v>1403</v>
      </c>
      <c r="BK28" s="3">
        <v>1401</v>
      </c>
      <c r="BL28" s="3">
        <v>1400</v>
      </c>
      <c r="BM28" s="3">
        <v>1398</v>
      </c>
      <c r="BN28" s="3">
        <v>1396</v>
      </c>
    </row>
    <row r="29" spans="2:66" x14ac:dyDescent="0.35">
      <c r="B29">
        <v>42</v>
      </c>
      <c r="C29" s="3">
        <v>1576</v>
      </c>
      <c r="D29" s="3">
        <v>1571</v>
      </c>
      <c r="E29" s="3">
        <v>1565</v>
      </c>
      <c r="F29" s="3">
        <v>1560</v>
      </c>
      <c r="G29" s="3">
        <v>1554</v>
      </c>
      <c r="H29" s="3">
        <v>1548</v>
      </c>
      <c r="I29" s="3">
        <v>1543</v>
      </c>
      <c r="J29" s="3">
        <v>1537</v>
      </c>
      <c r="K29" s="3">
        <v>1532</v>
      </c>
      <c r="L29" s="3">
        <v>1526</v>
      </c>
      <c r="M29" s="3">
        <v>1521</v>
      </c>
      <c r="N29" s="3">
        <v>1515</v>
      </c>
      <c r="O29" s="3">
        <v>1510</v>
      </c>
      <c r="P29" s="3">
        <v>1505</v>
      </c>
      <c r="Q29" s="3">
        <v>1500</v>
      </c>
      <c r="R29" s="3">
        <v>1495</v>
      </c>
      <c r="S29" s="3">
        <v>1490</v>
      </c>
      <c r="T29" s="3">
        <v>1485</v>
      </c>
      <c r="U29" s="3">
        <v>1480</v>
      </c>
      <c r="V29" s="3">
        <v>1475</v>
      </c>
      <c r="W29" s="3">
        <v>1471</v>
      </c>
      <c r="X29" s="3">
        <v>1466</v>
      </c>
      <c r="Y29" s="3">
        <v>1462</v>
      </c>
      <c r="Z29" s="3">
        <v>1458</v>
      </c>
      <c r="AA29" s="3">
        <v>1454</v>
      </c>
      <c r="AB29" s="3">
        <v>1451</v>
      </c>
      <c r="AC29" s="3">
        <v>1447</v>
      </c>
      <c r="AD29" s="3">
        <v>1444</v>
      </c>
      <c r="AE29" s="3">
        <v>1441</v>
      </c>
      <c r="AF29" s="3">
        <v>1437</v>
      </c>
      <c r="AG29" s="3">
        <v>1434</v>
      </c>
      <c r="AH29" s="3">
        <v>1431</v>
      </c>
      <c r="AI29" s="3">
        <v>1428</v>
      </c>
      <c r="AJ29" s="3">
        <v>1425</v>
      </c>
      <c r="AK29" s="3">
        <v>1423</v>
      </c>
      <c r="AL29" s="3">
        <v>1420</v>
      </c>
      <c r="AM29" s="3">
        <v>1417</v>
      </c>
      <c r="AN29" s="3">
        <v>1415</v>
      </c>
      <c r="AO29" s="3">
        <v>1412</v>
      </c>
      <c r="AP29" s="3">
        <v>1410</v>
      </c>
      <c r="AQ29" s="3">
        <v>1407</v>
      </c>
      <c r="AR29" s="3">
        <v>1405</v>
      </c>
      <c r="AS29" s="3">
        <v>1403</v>
      </c>
      <c r="AT29" s="3">
        <v>1400</v>
      </c>
      <c r="AU29" s="3">
        <v>1398</v>
      </c>
      <c r="AV29" s="3">
        <v>1396</v>
      </c>
      <c r="AW29" s="3">
        <v>1394</v>
      </c>
      <c r="AX29" s="3">
        <v>1392</v>
      </c>
      <c r="AY29" s="3">
        <v>1390</v>
      </c>
      <c r="AZ29" s="3">
        <v>1387</v>
      </c>
      <c r="BA29" s="3">
        <v>1385</v>
      </c>
      <c r="BB29" s="3">
        <v>1383</v>
      </c>
      <c r="BC29" s="3">
        <v>1381</v>
      </c>
      <c r="BD29" s="3">
        <v>1379</v>
      </c>
      <c r="BE29" s="3">
        <v>1377</v>
      </c>
      <c r="BF29" s="3">
        <v>1375</v>
      </c>
      <c r="BG29" s="3">
        <v>1373</v>
      </c>
      <c r="BH29" s="3">
        <v>1371</v>
      </c>
      <c r="BI29" s="3">
        <v>1369</v>
      </c>
      <c r="BJ29" s="3">
        <v>1368</v>
      </c>
      <c r="BK29" s="3">
        <v>1366</v>
      </c>
      <c r="BL29" s="3">
        <v>1364</v>
      </c>
      <c r="BM29" s="3">
        <v>1362</v>
      </c>
      <c r="BN29" s="3">
        <v>1360</v>
      </c>
    </row>
    <row r="30" spans="2:66" x14ac:dyDescent="0.35">
      <c r="B30">
        <v>43</v>
      </c>
      <c r="C30" s="3">
        <v>1538</v>
      </c>
      <c r="D30" s="3">
        <v>1533</v>
      </c>
      <c r="E30" s="3">
        <v>1528</v>
      </c>
      <c r="F30" s="3">
        <v>1522</v>
      </c>
      <c r="G30" s="3">
        <v>1517</v>
      </c>
      <c r="H30" s="3">
        <v>1511</v>
      </c>
      <c r="I30" s="3">
        <v>1506</v>
      </c>
      <c r="J30" s="3">
        <v>1500</v>
      </c>
      <c r="K30" s="3">
        <v>1495</v>
      </c>
      <c r="L30" s="3">
        <v>1489</v>
      </c>
      <c r="M30" s="3">
        <v>1484</v>
      </c>
      <c r="N30" s="3">
        <v>1479</v>
      </c>
      <c r="O30" s="3">
        <v>1473</v>
      </c>
      <c r="P30" s="3">
        <v>1468</v>
      </c>
      <c r="Q30" s="3">
        <v>1463</v>
      </c>
      <c r="R30" s="3">
        <v>1458</v>
      </c>
      <c r="S30" s="3">
        <v>1453</v>
      </c>
      <c r="T30" s="3">
        <v>1448</v>
      </c>
      <c r="U30" s="3">
        <v>1444</v>
      </c>
      <c r="V30" s="3">
        <v>1439</v>
      </c>
      <c r="W30" s="3">
        <v>1435</v>
      </c>
      <c r="X30" s="3">
        <v>1430</v>
      </c>
      <c r="Y30" s="3">
        <v>1426</v>
      </c>
      <c r="Z30" s="3">
        <v>1423</v>
      </c>
      <c r="AA30" s="3">
        <v>1419</v>
      </c>
      <c r="AB30" s="3">
        <v>1415</v>
      </c>
      <c r="AC30" s="3">
        <v>1412</v>
      </c>
      <c r="AD30" s="3">
        <v>1408</v>
      </c>
      <c r="AE30" s="3">
        <v>1405</v>
      </c>
      <c r="AF30" s="3">
        <v>1402</v>
      </c>
      <c r="AG30" s="3">
        <v>1399</v>
      </c>
      <c r="AH30" s="3">
        <v>1396</v>
      </c>
      <c r="AI30" s="3">
        <v>1393</v>
      </c>
      <c r="AJ30" s="3">
        <v>1390</v>
      </c>
      <c r="AK30" s="3">
        <v>1388</v>
      </c>
      <c r="AL30" s="3">
        <v>1385</v>
      </c>
      <c r="AM30" s="3">
        <v>1382</v>
      </c>
      <c r="AN30" s="3">
        <v>1380</v>
      </c>
      <c r="AO30" s="3">
        <v>1377</v>
      </c>
      <c r="AP30" s="3">
        <v>1375</v>
      </c>
      <c r="AQ30" s="3">
        <v>1373</v>
      </c>
      <c r="AR30" s="3">
        <v>1370</v>
      </c>
      <c r="AS30" s="3">
        <v>1368</v>
      </c>
      <c r="AT30" s="3">
        <v>1366</v>
      </c>
      <c r="AU30" s="3">
        <v>1364</v>
      </c>
      <c r="AV30" s="3">
        <v>1361</v>
      </c>
      <c r="AW30" s="3">
        <v>1359</v>
      </c>
      <c r="AX30" s="3">
        <v>1357</v>
      </c>
      <c r="AY30" s="3">
        <v>1355</v>
      </c>
      <c r="AZ30" s="3">
        <v>1353</v>
      </c>
      <c r="BA30" s="3">
        <v>1351</v>
      </c>
      <c r="BB30" s="3">
        <v>1349</v>
      </c>
      <c r="BC30" s="3">
        <v>1347</v>
      </c>
      <c r="BD30" s="3">
        <v>1345</v>
      </c>
      <c r="BE30" s="3">
        <v>1343</v>
      </c>
      <c r="BF30" s="3">
        <v>1341</v>
      </c>
      <c r="BG30" s="3">
        <v>1339</v>
      </c>
      <c r="BH30" s="3">
        <v>1337</v>
      </c>
      <c r="BI30" s="3">
        <v>1335</v>
      </c>
      <c r="BJ30" s="3">
        <v>1333</v>
      </c>
      <c r="BK30" s="3">
        <v>1332</v>
      </c>
      <c r="BL30" s="3">
        <v>1330</v>
      </c>
      <c r="BM30" s="3">
        <v>1328</v>
      </c>
      <c r="BN30" s="3">
        <v>1326</v>
      </c>
    </row>
    <row r="31" spans="2:66" x14ac:dyDescent="0.35">
      <c r="B31">
        <v>44</v>
      </c>
      <c r="C31" s="3">
        <v>1502</v>
      </c>
      <c r="D31" s="3">
        <v>1497</v>
      </c>
      <c r="E31" s="3">
        <v>1492</v>
      </c>
      <c r="F31" s="3">
        <v>1486</v>
      </c>
      <c r="G31" s="3">
        <v>1481</v>
      </c>
      <c r="H31" s="3">
        <v>1475</v>
      </c>
      <c r="I31" s="3">
        <v>1470</v>
      </c>
      <c r="J31" s="3">
        <v>1464</v>
      </c>
      <c r="K31" s="3">
        <v>1459</v>
      </c>
      <c r="L31" s="3">
        <v>1454</v>
      </c>
      <c r="M31" s="3">
        <v>1448</v>
      </c>
      <c r="N31" s="3">
        <v>1443</v>
      </c>
      <c r="O31" s="3">
        <v>1438</v>
      </c>
      <c r="P31" s="3">
        <v>1433</v>
      </c>
      <c r="Q31" s="3">
        <v>1428</v>
      </c>
      <c r="R31" s="3">
        <v>1423</v>
      </c>
      <c r="S31" s="3">
        <v>1418</v>
      </c>
      <c r="T31" s="3">
        <v>1414</v>
      </c>
      <c r="U31" s="3">
        <v>1409</v>
      </c>
      <c r="V31" s="3">
        <v>1404</v>
      </c>
      <c r="W31" s="3">
        <v>1400</v>
      </c>
      <c r="X31" s="3">
        <v>1396</v>
      </c>
      <c r="Y31" s="3">
        <v>1392</v>
      </c>
      <c r="Z31" s="3">
        <v>1388</v>
      </c>
      <c r="AA31" s="3">
        <v>1385</v>
      </c>
      <c r="AB31" s="3">
        <v>1381</v>
      </c>
      <c r="AC31" s="3">
        <v>1378</v>
      </c>
      <c r="AD31" s="3">
        <v>1374</v>
      </c>
      <c r="AE31" s="3">
        <v>1371</v>
      </c>
      <c r="AF31" s="3">
        <v>1368</v>
      </c>
      <c r="AG31" s="3">
        <v>1365</v>
      </c>
      <c r="AH31" s="3">
        <v>1362</v>
      </c>
      <c r="AI31" s="3">
        <v>1359</v>
      </c>
      <c r="AJ31" s="3">
        <v>1357</v>
      </c>
      <c r="AK31" s="3">
        <v>1354</v>
      </c>
      <c r="AL31" s="3">
        <v>1351</v>
      </c>
      <c r="AM31" s="3">
        <v>1349</v>
      </c>
      <c r="AN31" s="3">
        <v>1346</v>
      </c>
      <c r="AO31" s="3">
        <v>1344</v>
      </c>
      <c r="AP31" s="3">
        <v>1342</v>
      </c>
      <c r="AQ31" s="3">
        <v>1339</v>
      </c>
      <c r="AR31" s="3">
        <v>1337</v>
      </c>
      <c r="AS31" s="3">
        <v>1335</v>
      </c>
      <c r="AT31" s="3">
        <v>1332</v>
      </c>
      <c r="AU31" s="3">
        <v>1330</v>
      </c>
      <c r="AV31" s="3">
        <v>1328</v>
      </c>
      <c r="AW31" s="3">
        <v>1326</v>
      </c>
      <c r="AX31" s="3">
        <v>1324</v>
      </c>
      <c r="AY31" s="3">
        <v>1322</v>
      </c>
      <c r="AZ31" s="3">
        <v>1320</v>
      </c>
      <c r="BA31" s="3">
        <v>1318</v>
      </c>
      <c r="BB31" s="3">
        <v>1316</v>
      </c>
      <c r="BC31" s="3">
        <v>1314</v>
      </c>
      <c r="BD31" s="3">
        <v>1312</v>
      </c>
      <c r="BE31" s="3">
        <v>1310</v>
      </c>
      <c r="BF31" s="3">
        <v>1308</v>
      </c>
      <c r="BG31" s="3">
        <v>1306</v>
      </c>
      <c r="BH31" s="3">
        <v>1304</v>
      </c>
      <c r="BI31" s="3">
        <v>1302</v>
      </c>
      <c r="BJ31" s="3">
        <v>1301</v>
      </c>
      <c r="BK31" s="3">
        <v>1299</v>
      </c>
      <c r="BL31" s="3">
        <v>1297</v>
      </c>
      <c r="BM31" s="3">
        <v>1295</v>
      </c>
      <c r="BN31" s="3">
        <v>1293</v>
      </c>
    </row>
    <row r="32" spans="2:66" x14ac:dyDescent="0.35">
      <c r="B32">
        <v>45</v>
      </c>
      <c r="C32" s="3">
        <v>1467</v>
      </c>
      <c r="D32" s="3">
        <v>1462</v>
      </c>
      <c r="E32" s="3">
        <v>1457</v>
      </c>
      <c r="F32" s="3">
        <v>1452</v>
      </c>
      <c r="G32" s="3">
        <v>1446</v>
      </c>
      <c r="H32" s="3">
        <v>1441</v>
      </c>
      <c r="I32" s="3">
        <v>1436</v>
      </c>
      <c r="J32" s="3">
        <v>1430</v>
      </c>
      <c r="K32" s="3">
        <v>1425</v>
      </c>
      <c r="L32" s="3">
        <v>1420</v>
      </c>
      <c r="M32" s="3">
        <v>1414</v>
      </c>
      <c r="N32" s="3">
        <v>1409</v>
      </c>
      <c r="O32" s="3">
        <v>1404</v>
      </c>
      <c r="P32" s="3">
        <v>1399</v>
      </c>
      <c r="Q32" s="3">
        <v>1394</v>
      </c>
      <c r="R32" s="3">
        <v>1389</v>
      </c>
      <c r="S32" s="3">
        <v>1385</v>
      </c>
      <c r="T32" s="3">
        <v>1380</v>
      </c>
      <c r="U32" s="3">
        <v>1375</v>
      </c>
      <c r="V32" s="3">
        <v>1371</v>
      </c>
      <c r="W32" s="3">
        <v>1367</v>
      </c>
      <c r="X32" s="3">
        <v>1363</v>
      </c>
      <c r="Y32" s="3">
        <v>1359</v>
      </c>
      <c r="Z32" s="3">
        <v>1355</v>
      </c>
      <c r="AA32" s="3">
        <v>1352</v>
      </c>
      <c r="AB32" s="3">
        <v>1348</v>
      </c>
      <c r="AC32" s="3">
        <v>1345</v>
      </c>
      <c r="AD32" s="3">
        <v>1342</v>
      </c>
      <c r="AE32" s="3">
        <v>1339</v>
      </c>
      <c r="AF32" s="3">
        <v>1336</v>
      </c>
      <c r="AG32" s="3">
        <v>1333</v>
      </c>
      <c r="AH32" s="3">
        <v>1330</v>
      </c>
      <c r="AI32" s="3">
        <v>1327</v>
      </c>
      <c r="AJ32" s="3">
        <v>1324</v>
      </c>
      <c r="AK32" s="3">
        <v>1322</v>
      </c>
      <c r="AL32" s="3">
        <v>1319</v>
      </c>
      <c r="AM32" s="3">
        <v>1316</v>
      </c>
      <c r="AN32" s="3">
        <v>1314</v>
      </c>
      <c r="AO32" s="3">
        <v>1312</v>
      </c>
      <c r="AP32" s="3">
        <v>1309</v>
      </c>
      <c r="AQ32" s="3">
        <v>1307</v>
      </c>
      <c r="AR32" s="3">
        <v>1305</v>
      </c>
      <c r="AS32" s="3">
        <v>1303</v>
      </c>
      <c r="AT32" s="3">
        <v>1300</v>
      </c>
      <c r="AU32" s="3">
        <v>1298</v>
      </c>
      <c r="AV32" s="3">
        <v>1296</v>
      </c>
      <c r="AW32" s="3">
        <v>1294</v>
      </c>
      <c r="AX32" s="3">
        <v>1292</v>
      </c>
      <c r="AY32" s="3">
        <v>1290</v>
      </c>
      <c r="AZ32" s="3">
        <v>1288</v>
      </c>
      <c r="BA32" s="3">
        <v>1286</v>
      </c>
      <c r="BB32" s="3">
        <v>1284</v>
      </c>
      <c r="BC32" s="3">
        <v>1282</v>
      </c>
      <c r="BD32" s="3">
        <v>1280</v>
      </c>
      <c r="BE32" s="3">
        <v>1278</v>
      </c>
      <c r="BF32" s="3">
        <v>1276</v>
      </c>
      <c r="BG32" s="3">
        <v>1275</v>
      </c>
      <c r="BH32" s="3">
        <v>1273</v>
      </c>
      <c r="BI32" s="3">
        <v>1271</v>
      </c>
      <c r="BJ32" s="3">
        <v>1269</v>
      </c>
      <c r="BK32" s="3">
        <v>1267</v>
      </c>
      <c r="BL32" s="3">
        <v>1265</v>
      </c>
      <c r="BM32" s="3">
        <v>1264</v>
      </c>
      <c r="BN32" s="3">
        <v>1262</v>
      </c>
    </row>
    <row r="33" spans="2:66" x14ac:dyDescent="0.35">
      <c r="B33">
        <v>46</v>
      </c>
      <c r="C33" s="3">
        <v>1434</v>
      </c>
      <c r="D33" s="3">
        <v>1429</v>
      </c>
      <c r="E33" s="3">
        <v>1423</v>
      </c>
      <c r="F33" s="3">
        <v>1418</v>
      </c>
      <c r="G33" s="3">
        <v>1413</v>
      </c>
      <c r="H33" s="3">
        <v>1408</v>
      </c>
      <c r="I33" s="3">
        <v>1402</v>
      </c>
      <c r="J33" s="3">
        <v>1397</v>
      </c>
      <c r="K33" s="3">
        <v>1392</v>
      </c>
      <c r="L33" s="3">
        <v>1387</v>
      </c>
      <c r="M33" s="3">
        <v>1381</v>
      </c>
      <c r="N33" s="3">
        <v>1376</v>
      </c>
      <c r="O33" s="3">
        <v>1371</v>
      </c>
      <c r="P33" s="3">
        <v>1366</v>
      </c>
      <c r="Q33" s="3">
        <v>1361</v>
      </c>
      <c r="R33" s="3">
        <v>1357</v>
      </c>
      <c r="S33" s="3">
        <v>1352</v>
      </c>
      <c r="T33" s="3">
        <v>1347</v>
      </c>
      <c r="U33" s="3">
        <v>1343</v>
      </c>
      <c r="V33" s="3">
        <v>1339</v>
      </c>
      <c r="W33" s="3">
        <v>1335</v>
      </c>
      <c r="X33" s="3">
        <v>1331</v>
      </c>
      <c r="Y33" s="3">
        <v>1327</v>
      </c>
      <c r="Z33" s="3">
        <v>1324</v>
      </c>
      <c r="AA33" s="3">
        <v>1320</v>
      </c>
      <c r="AB33" s="3">
        <v>1317</v>
      </c>
      <c r="AC33" s="3">
        <v>1313</v>
      </c>
      <c r="AD33" s="3">
        <v>1310</v>
      </c>
      <c r="AE33" s="3">
        <v>1307</v>
      </c>
      <c r="AF33" s="3">
        <v>1304</v>
      </c>
      <c r="AG33" s="3">
        <v>1301</v>
      </c>
      <c r="AH33" s="3">
        <v>1299</v>
      </c>
      <c r="AI33" s="3">
        <v>1296</v>
      </c>
      <c r="AJ33" s="3">
        <v>1293</v>
      </c>
      <c r="AK33" s="3">
        <v>1291</v>
      </c>
      <c r="AL33" s="3">
        <v>1288</v>
      </c>
      <c r="AM33" s="3">
        <v>1286</v>
      </c>
      <c r="AN33" s="3">
        <v>1283</v>
      </c>
      <c r="AO33" s="3">
        <v>1281</v>
      </c>
      <c r="AP33" s="3">
        <v>1279</v>
      </c>
      <c r="AQ33" s="3">
        <v>1276</v>
      </c>
      <c r="AR33" s="3">
        <v>1274</v>
      </c>
      <c r="AS33" s="3">
        <v>1272</v>
      </c>
      <c r="AT33" s="3">
        <v>1270</v>
      </c>
      <c r="AU33" s="3">
        <v>1268</v>
      </c>
      <c r="AV33" s="3">
        <v>1266</v>
      </c>
      <c r="AW33" s="3">
        <v>1264</v>
      </c>
      <c r="AX33" s="3">
        <v>1262</v>
      </c>
      <c r="AY33" s="3">
        <v>1260</v>
      </c>
      <c r="AZ33" s="3">
        <v>1258</v>
      </c>
      <c r="BA33" s="3">
        <v>1256</v>
      </c>
      <c r="BB33" s="3">
        <v>1254</v>
      </c>
      <c r="BC33" s="3">
        <v>1252</v>
      </c>
      <c r="BD33" s="3">
        <v>1250</v>
      </c>
      <c r="BE33" s="3">
        <v>1248</v>
      </c>
      <c r="BF33" s="3">
        <v>1246</v>
      </c>
      <c r="BG33" s="3">
        <v>1244</v>
      </c>
      <c r="BH33" s="3">
        <v>1243</v>
      </c>
      <c r="BI33" s="3">
        <v>1241</v>
      </c>
      <c r="BJ33" s="3">
        <v>1239</v>
      </c>
      <c r="BK33" s="3">
        <v>1237</v>
      </c>
      <c r="BL33" s="3">
        <v>1235</v>
      </c>
      <c r="BM33" s="3">
        <v>1234</v>
      </c>
      <c r="BN33" s="3">
        <v>1232</v>
      </c>
    </row>
    <row r="34" spans="2:66" x14ac:dyDescent="0.35">
      <c r="B34">
        <v>47</v>
      </c>
      <c r="C34" s="3">
        <v>1401</v>
      </c>
      <c r="D34" s="3">
        <v>1396</v>
      </c>
      <c r="E34" s="3">
        <v>1391</v>
      </c>
      <c r="F34" s="3">
        <v>1386</v>
      </c>
      <c r="G34" s="3">
        <v>1380</v>
      </c>
      <c r="H34" s="3">
        <v>1375</v>
      </c>
      <c r="I34" s="3">
        <v>1370</v>
      </c>
      <c r="J34" s="3">
        <v>1365</v>
      </c>
      <c r="K34" s="3">
        <v>1360</v>
      </c>
      <c r="L34" s="3">
        <v>1354</v>
      </c>
      <c r="M34" s="3">
        <v>1349</v>
      </c>
      <c r="N34" s="3">
        <v>1344</v>
      </c>
      <c r="O34" s="3">
        <v>1339</v>
      </c>
      <c r="P34" s="3">
        <v>1335</v>
      </c>
      <c r="Q34" s="3">
        <v>1330</v>
      </c>
      <c r="R34" s="3">
        <v>1325</v>
      </c>
      <c r="S34" s="3">
        <v>1320</v>
      </c>
      <c r="T34" s="3">
        <v>1316</v>
      </c>
      <c r="U34" s="3">
        <v>1312</v>
      </c>
      <c r="V34" s="3">
        <v>1308</v>
      </c>
      <c r="W34" s="3">
        <v>1304</v>
      </c>
      <c r="X34" s="3">
        <v>1300</v>
      </c>
      <c r="Y34" s="3">
        <v>1296</v>
      </c>
      <c r="Z34" s="3">
        <v>1293</v>
      </c>
      <c r="AA34" s="3">
        <v>1289</v>
      </c>
      <c r="AB34" s="3">
        <v>1286</v>
      </c>
      <c r="AC34" s="3">
        <v>1283</v>
      </c>
      <c r="AD34" s="3">
        <v>1280</v>
      </c>
      <c r="AE34" s="3">
        <v>1277</v>
      </c>
      <c r="AF34" s="3">
        <v>1274</v>
      </c>
      <c r="AG34" s="3">
        <v>1271</v>
      </c>
      <c r="AH34" s="3">
        <v>1268</v>
      </c>
      <c r="AI34" s="3">
        <v>1266</v>
      </c>
      <c r="AJ34" s="3">
        <v>1263</v>
      </c>
      <c r="AK34" s="3">
        <v>1260</v>
      </c>
      <c r="AL34" s="3">
        <v>1258</v>
      </c>
      <c r="AM34" s="3">
        <v>1256</v>
      </c>
      <c r="AN34" s="3">
        <v>1253</v>
      </c>
      <c r="AO34" s="3">
        <v>1251</v>
      </c>
      <c r="AP34" s="3">
        <v>1249</v>
      </c>
      <c r="AQ34" s="3">
        <v>1246</v>
      </c>
      <c r="AR34" s="3">
        <v>1244</v>
      </c>
      <c r="AS34" s="3">
        <v>1242</v>
      </c>
      <c r="AT34" s="3">
        <v>1240</v>
      </c>
      <c r="AU34" s="3">
        <v>1238</v>
      </c>
      <c r="AV34" s="3">
        <v>1236</v>
      </c>
      <c r="AW34" s="3">
        <v>1234</v>
      </c>
      <c r="AX34" s="3">
        <v>1232</v>
      </c>
      <c r="AY34" s="3">
        <v>1230</v>
      </c>
      <c r="AZ34" s="3">
        <v>1228</v>
      </c>
      <c r="BA34" s="3">
        <v>1226</v>
      </c>
      <c r="BB34" s="3">
        <v>1224</v>
      </c>
      <c r="BC34" s="3">
        <v>1222</v>
      </c>
      <c r="BD34" s="3">
        <v>1221</v>
      </c>
      <c r="BE34" s="3">
        <v>1219</v>
      </c>
      <c r="BF34" s="3">
        <v>1217</v>
      </c>
      <c r="BG34" s="3">
        <v>1215</v>
      </c>
      <c r="BH34" s="3">
        <v>1213</v>
      </c>
      <c r="BI34" s="3">
        <v>1211</v>
      </c>
      <c r="BJ34" s="3">
        <v>1210</v>
      </c>
      <c r="BK34" s="3">
        <v>1208</v>
      </c>
      <c r="BL34" s="3">
        <v>1206</v>
      </c>
      <c r="BM34" s="3">
        <v>1204</v>
      </c>
      <c r="BN34" s="3">
        <v>1203</v>
      </c>
    </row>
    <row r="35" spans="2:66" x14ac:dyDescent="0.35">
      <c r="B35">
        <v>48</v>
      </c>
      <c r="C35" s="3">
        <v>1369</v>
      </c>
      <c r="D35" s="3">
        <v>1364</v>
      </c>
      <c r="E35" s="3">
        <v>1359</v>
      </c>
      <c r="F35" s="3">
        <v>1354</v>
      </c>
      <c r="G35" s="3">
        <v>1349</v>
      </c>
      <c r="H35" s="3">
        <v>1344</v>
      </c>
      <c r="I35" s="3">
        <v>1339</v>
      </c>
      <c r="J35" s="3">
        <v>1333</v>
      </c>
      <c r="K35" s="3">
        <v>1328</v>
      </c>
      <c r="L35" s="3">
        <v>1323</v>
      </c>
      <c r="M35" s="3">
        <v>1318</v>
      </c>
      <c r="N35" s="3">
        <v>1313</v>
      </c>
      <c r="O35" s="3">
        <v>1308</v>
      </c>
      <c r="P35" s="3">
        <v>1304</v>
      </c>
      <c r="Q35" s="3">
        <v>1299</v>
      </c>
      <c r="R35" s="3">
        <v>1294</v>
      </c>
      <c r="S35" s="3">
        <v>1290</v>
      </c>
      <c r="T35" s="3">
        <v>1286</v>
      </c>
      <c r="U35" s="3">
        <v>1281</v>
      </c>
      <c r="V35" s="3">
        <v>1278</v>
      </c>
      <c r="W35" s="3">
        <v>1274</v>
      </c>
      <c r="X35" s="3">
        <v>1270</v>
      </c>
      <c r="Y35" s="3">
        <v>1266</v>
      </c>
      <c r="Z35" s="3">
        <v>1263</v>
      </c>
      <c r="AA35" s="3">
        <v>1260</v>
      </c>
      <c r="AB35" s="3">
        <v>1256</v>
      </c>
      <c r="AC35" s="3">
        <v>1253</v>
      </c>
      <c r="AD35" s="3">
        <v>1250</v>
      </c>
      <c r="AE35" s="3">
        <v>1247</v>
      </c>
      <c r="AF35" s="3">
        <v>1244</v>
      </c>
      <c r="AG35" s="3">
        <v>1241</v>
      </c>
      <c r="AH35" s="3">
        <v>1239</v>
      </c>
      <c r="AI35" s="3">
        <v>1236</v>
      </c>
      <c r="AJ35" s="3">
        <v>1234</v>
      </c>
      <c r="AK35" s="3">
        <v>1231</v>
      </c>
      <c r="AL35" s="3">
        <v>1229</v>
      </c>
      <c r="AM35" s="3">
        <v>1226</v>
      </c>
      <c r="AN35" s="3">
        <v>1224</v>
      </c>
      <c r="AO35" s="3">
        <v>1222</v>
      </c>
      <c r="AP35" s="3">
        <v>1220</v>
      </c>
      <c r="AQ35" s="3">
        <v>1217</v>
      </c>
      <c r="AR35" s="3">
        <v>1215</v>
      </c>
      <c r="AS35" s="3">
        <v>1213</v>
      </c>
      <c r="AT35" s="3">
        <v>1211</v>
      </c>
      <c r="AU35" s="3">
        <v>1209</v>
      </c>
      <c r="AV35" s="3">
        <v>1207</v>
      </c>
      <c r="AW35" s="3">
        <v>1205</v>
      </c>
      <c r="AX35" s="3">
        <v>1203</v>
      </c>
      <c r="AY35" s="3">
        <v>1201</v>
      </c>
      <c r="AZ35" s="3">
        <v>1199</v>
      </c>
      <c r="BA35" s="3">
        <v>1197</v>
      </c>
      <c r="BB35" s="3">
        <v>1196</v>
      </c>
      <c r="BC35" s="3">
        <v>1194</v>
      </c>
      <c r="BD35" s="3">
        <v>1192</v>
      </c>
      <c r="BE35" s="3">
        <v>1190</v>
      </c>
      <c r="BF35" s="3">
        <v>1188</v>
      </c>
      <c r="BG35" s="3">
        <v>1187</v>
      </c>
      <c r="BH35" s="3">
        <v>1185</v>
      </c>
      <c r="BI35" s="3">
        <v>1183</v>
      </c>
      <c r="BJ35" s="3">
        <v>1181</v>
      </c>
      <c r="BK35" s="3">
        <v>1180</v>
      </c>
      <c r="BL35" s="3">
        <v>1178</v>
      </c>
      <c r="BM35" s="3">
        <v>1176</v>
      </c>
      <c r="BN35" s="3">
        <v>1174</v>
      </c>
    </row>
    <row r="36" spans="2:66" x14ac:dyDescent="0.35">
      <c r="B36">
        <v>49</v>
      </c>
      <c r="C36" s="3">
        <v>1338</v>
      </c>
      <c r="D36" s="3">
        <v>1333</v>
      </c>
      <c r="E36" s="3">
        <v>1328</v>
      </c>
      <c r="F36" s="3">
        <v>1323</v>
      </c>
      <c r="G36" s="3">
        <v>1318</v>
      </c>
      <c r="H36" s="3">
        <v>1313</v>
      </c>
      <c r="I36" s="3">
        <v>1308</v>
      </c>
      <c r="J36" s="3">
        <v>1303</v>
      </c>
      <c r="K36" s="3">
        <v>1298</v>
      </c>
      <c r="L36" s="3">
        <v>1293</v>
      </c>
      <c r="M36" s="3">
        <v>1288</v>
      </c>
      <c r="N36" s="3">
        <v>1283</v>
      </c>
      <c r="O36" s="3">
        <v>1278</v>
      </c>
      <c r="P36" s="3">
        <v>1273</v>
      </c>
      <c r="Q36" s="3">
        <v>1269</v>
      </c>
      <c r="R36" s="3">
        <v>1264</v>
      </c>
      <c r="S36" s="3">
        <v>1260</v>
      </c>
      <c r="T36" s="3">
        <v>1256</v>
      </c>
      <c r="U36" s="3">
        <v>1252</v>
      </c>
      <c r="V36" s="3">
        <v>1248</v>
      </c>
      <c r="W36" s="3">
        <v>1244</v>
      </c>
      <c r="X36" s="3">
        <v>1241</v>
      </c>
      <c r="Y36" s="3">
        <v>1237</v>
      </c>
      <c r="Z36" s="3">
        <v>1234</v>
      </c>
      <c r="AA36" s="3">
        <v>1230</v>
      </c>
      <c r="AB36" s="3">
        <v>1227</v>
      </c>
      <c r="AC36" s="3">
        <v>1224</v>
      </c>
      <c r="AD36" s="3">
        <v>1221</v>
      </c>
      <c r="AE36" s="3">
        <v>1218</v>
      </c>
      <c r="AF36" s="3">
        <v>1215</v>
      </c>
      <c r="AG36" s="3">
        <v>1213</v>
      </c>
      <c r="AH36" s="3">
        <v>1210</v>
      </c>
      <c r="AI36" s="3">
        <v>1208</v>
      </c>
      <c r="AJ36" s="3">
        <v>1205</v>
      </c>
      <c r="AK36" s="3">
        <v>1203</v>
      </c>
      <c r="AL36" s="3">
        <v>1200</v>
      </c>
      <c r="AM36" s="3">
        <v>1198</v>
      </c>
      <c r="AN36" s="3">
        <v>1196</v>
      </c>
      <c r="AO36" s="3">
        <v>1193</v>
      </c>
      <c r="AP36" s="3">
        <v>1191</v>
      </c>
      <c r="AQ36" s="3">
        <v>1189</v>
      </c>
      <c r="AR36" s="3">
        <v>1187</v>
      </c>
      <c r="AS36" s="3">
        <v>1185</v>
      </c>
      <c r="AT36" s="3">
        <v>1183</v>
      </c>
      <c r="AU36" s="3">
        <v>1181</v>
      </c>
      <c r="AV36" s="3">
        <v>1179</v>
      </c>
      <c r="AW36" s="3">
        <v>1177</v>
      </c>
      <c r="AX36" s="3">
        <v>1175</v>
      </c>
      <c r="AY36" s="3">
        <v>1173</v>
      </c>
      <c r="AZ36" s="3">
        <v>1171</v>
      </c>
      <c r="BA36" s="3">
        <v>1170</v>
      </c>
      <c r="BB36" s="3">
        <v>1168</v>
      </c>
      <c r="BC36" s="3">
        <v>1166</v>
      </c>
      <c r="BD36" s="3">
        <v>1164</v>
      </c>
      <c r="BE36" s="3">
        <v>1162</v>
      </c>
      <c r="BF36" s="3">
        <v>1161</v>
      </c>
      <c r="BG36" s="3">
        <v>1159</v>
      </c>
      <c r="BH36" s="3">
        <v>1157</v>
      </c>
      <c r="BI36" s="3">
        <v>1155</v>
      </c>
      <c r="BJ36" s="3">
        <v>1154</v>
      </c>
      <c r="BK36" s="3">
        <v>1152</v>
      </c>
      <c r="BL36" s="3">
        <v>1150</v>
      </c>
      <c r="BM36" s="3">
        <v>1148</v>
      </c>
      <c r="BN36" s="3">
        <v>1147</v>
      </c>
    </row>
    <row r="37" spans="2:66" x14ac:dyDescent="0.35">
      <c r="B37">
        <v>50</v>
      </c>
      <c r="C37" s="3">
        <v>1308</v>
      </c>
      <c r="D37" s="3">
        <v>1303</v>
      </c>
      <c r="E37" s="3">
        <v>1298</v>
      </c>
      <c r="F37" s="3">
        <v>1293</v>
      </c>
      <c r="G37" s="3">
        <v>1288</v>
      </c>
      <c r="H37" s="3">
        <v>1283</v>
      </c>
      <c r="I37" s="3">
        <v>1278</v>
      </c>
      <c r="J37" s="3">
        <v>1273</v>
      </c>
      <c r="K37" s="3">
        <v>1268</v>
      </c>
      <c r="L37" s="3">
        <v>1263</v>
      </c>
      <c r="M37" s="3">
        <v>1258</v>
      </c>
      <c r="N37" s="3">
        <v>1253</v>
      </c>
      <c r="O37" s="3">
        <v>1248</v>
      </c>
      <c r="P37" s="3">
        <v>1244</v>
      </c>
      <c r="Q37" s="3">
        <v>1239</v>
      </c>
      <c r="R37" s="3">
        <v>1235</v>
      </c>
      <c r="S37" s="3">
        <v>1231</v>
      </c>
      <c r="T37" s="3">
        <v>1227</v>
      </c>
      <c r="U37" s="3">
        <v>1223</v>
      </c>
      <c r="V37" s="3">
        <v>1219</v>
      </c>
      <c r="W37" s="3">
        <v>1216</v>
      </c>
      <c r="X37" s="3">
        <v>1212</v>
      </c>
      <c r="Y37" s="3">
        <v>1209</v>
      </c>
      <c r="Z37" s="3">
        <v>1205</v>
      </c>
      <c r="AA37" s="3">
        <v>1202</v>
      </c>
      <c r="AB37" s="3">
        <v>1199</v>
      </c>
      <c r="AC37" s="3">
        <v>1196</v>
      </c>
      <c r="AD37" s="3">
        <v>1193</v>
      </c>
      <c r="AE37" s="3">
        <v>1190</v>
      </c>
      <c r="AF37" s="3">
        <v>1187</v>
      </c>
      <c r="AG37" s="3">
        <v>1185</v>
      </c>
      <c r="AH37" s="3">
        <v>1182</v>
      </c>
      <c r="AI37" s="3">
        <v>1180</v>
      </c>
      <c r="AJ37" s="3">
        <v>1177</v>
      </c>
      <c r="AK37" s="3">
        <v>1175</v>
      </c>
      <c r="AL37" s="3">
        <v>1172</v>
      </c>
      <c r="AM37" s="3">
        <v>1170</v>
      </c>
      <c r="AN37" s="3">
        <v>1168</v>
      </c>
      <c r="AO37" s="3">
        <v>1166</v>
      </c>
      <c r="AP37" s="3">
        <v>1164</v>
      </c>
      <c r="AQ37" s="3">
        <v>1162</v>
      </c>
      <c r="AR37" s="3">
        <v>1160</v>
      </c>
      <c r="AS37" s="3">
        <v>1158</v>
      </c>
      <c r="AT37" s="3">
        <v>1156</v>
      </c>
      <c r="AU37" s="3">
        <v>1154</v>
      </c>
      <c r="AV37" s="3">
        <v>1152</v>
      </c>
      <c r="AW37" s="3">
        <v>1150</v>
      </c>
      <c r="AX37" s="3">
        <v>1148</v>
      </c>
      <c r="AY37" s="3">
        <v>1146</v>
      </c>
      <c r="AZ37" s="3">
        <v>1144</v>
      </c>
      <c r="BA37" s="3">
        <v>1142</v>
      </c>
      <c r="BB37" s="3">
        <v>1141</v>
      </c>
      <c r="BC37" s="3">
        <v>1139</v>
      </c>
      <c r="BD37" s="3">
        <v>1137</v>
      </c>
      <c r="BE37" s="3">
        <v>1135</v>
      </c>
      <c r="BF37" s="3">
        <v>1133</v>
      </c>
      <c r="BG37" s="3">
        <v>1132</v>
      </c>
      <c r="BH37" s="3">
        <v>1130</v>
      </c>
      <c r="BI37" s="3">
        <v>1128</v>
      </c>
      <c r="BJ37" s="3">
        <v>1127</v>
      </c>
      <c r="BK37" s="3">
        <v>1125</v>
      </c>
      <c r="BL37" s="3">
        <v>1123</v>
      </c>
      <c r="BM37" s="3">
        <v>1122</v>
      </c>
      <c r="BN37" s="3">
        <v>1120</v>
      </c>
    </row>
    <row r="38" spans="2:66" x14ac:dyDescent="0.35">
      <c r="B38">
        <v>51</v>
      </c>
      <c r="C38" s="3">
        <v>1278</v>
      </c>
      <c r="D38" s="3">
        <v>1273</v>
      </c>
      <c r="E38" s="3">
        <v>1268</v>
      </c>
      <c r="F38" s="3">
        <v>1263</v>
      </c>
      <c r="G38" s="3">
        <v>1258</v>
      </c>
      <c r="H38" s="3">
        <v>1253</v>
      </c>
      <c r="I38" s="3">
        <v>1248</v>
      </c>
      <c r="J38" s="3">
        <v>1243</v>
      </c>
      <c r="K38" s="3">
        <v>1238</v>
      </c>
      <c r="L38" s="3">
        <v>1234</v>
      </c>
      <c r="M38" s="3">
        <v>1229</v>
      </c>
      <c r="N38" s="3">
        <v>1224</v>
      </c>
      <c r="O38" s="3">
        <v>1219</v>
      </c>
      <c r="P38" s="3">
        <v>1215</v>
      </c>
      <c r="Q38" s="3">
        <v>1211</v>
      </c>
      <c r="R38" s="3">
        <v>1206</v>
      </c>
      <c r="S38" s="3">
        <v>1202</v>
      </c>
      <c r="T38" s="3">
        <v>1198</v>
      </c>
      <c r="U38" s="3">
        <v>1195</v>
      </c>
      <c r="V38" s="3">
        <v>1191</v>
      </c>
      <c r="W38" s="3">
        <v>1187</v>
      </c>
      <c r="X38" s="3">
        <v>1184</v>
      </c>
      <c r="Y38" s="3">
        <v>1181</v>
      </c>
      <c r="Z38" s="3">
        <v>1177</v>
      </c>
      <c r="AA38" s="3">
        <v>1174</v>
      </c>
      <c r="AB38" s="3">
        <v>1171</v>
      </c>
      <c r="AC38" s="3">
        <v>1168</v>
      </c>
      <c r="AD38" s="3">
        <v>1165</v>
      </c>
      <c r="AE38" s="3">
        <v>1162</v>
      </c>
      <c r="AF38" s="3">
        <v>1160</v>
      </c>
      <c r="AG38" s="3">
        <v>1157</v>
      </c>
      <c r="AH38" s="3">
        <v>1155</v>
      </c>
      <c r="AI38" s="3">
        <v>1152</v>
      </c>
      <c r="AJ38" s="3">
        <v>1150</v>
      </c>
      <c r="AK38" s="3">
        <v>1147</v>
      </c>
      <c r="AL38" s="3">
        <v>1145</v>
      </c>
      <c r="AM38" s="3">
        <v>1143</v>
      </c>
      <c r="AN38" s="3">
        <v>1141</v>
      </c>
      <c r="AO38" s="3">
        <v>1139</v>
      </c>
      <c r="AP38" s="3">
        <v>1137</v>
      </c>
      <c r="AQ38" s="3">
        <v>1135</v>
      </c>
      <c r="AR38" s="3">
        <v>1133</v>
      </c>
      <c r="AS38" s="3">
        <v>1131</v>
      </c>
      <c r="AT38" s="3">
        <v>1129</v>
      </c>
      <c r="AU38" s="3">
        <v>1127</v>
      </c>
      <c r="AV38" s="3">
        <v>1125</v>
      </c>
      <c r="AW38" s="3">
        <v>1123</v>
      </c>
      <c r="AX38" s="3">
        <v>1121</v>
      </c>
      <c r="AY38" s="3">
        <v>1119</v>
      </c>
      <c r="AZ38" s="3">
        <v>1117</v>
      </c>
      <c r="BA38" s="3">
        <v>1116</v>
      </c>
      <c r="BB38" s="3">
        <v>1114</v>
      </c>
      <c r="BC38" s="3">
        <v>1112</v>
      </c>
      <c r="BD38" s="3">
        <v>1110</v>
      </c>
      <c r="BE38" s="3">
        <v>1109</v>
      </c>
      <c r="BF38" s="3">
        <v>1107</v>
      </c>
      <c r="BG38" s="3">
        <v>1105</v>
      </c>
      <c r="BH38" s="3">
        <v>1104</v>
      </c>
      <c r="BI38" s="3">
        <v>1102</v>
      </c>
      <c r="BJ38" s="3">
        <v>1100</v>
      </c>
      <c r="BK38" s="3">
        <v>1099</v>
      </c>
      <c r="BL38" s="3">
        <v>1097</v>
      </c>
      <c r="BM38" s="3">
        <v>1095</v>
      </c>
      <c r="BN38" s="3">
        <v>1094</v>
      </c>
    </row>
    <row r="39" spans="2:66" x14ac:dyDescent="0.35">
      <c r="B39">
        <v>52</v>
      </c>
      <c r="C39" s="3">
        <v>1249</v>
      </c>
      <c r="D39" s="3">
        <v>1244</v>
      </c>
      <c r="E39" s="3">
        <v>1239</v>
      </c>
      <c r="F39" s="3">
        <v>1234</v>
      </c>
      <c r="G39" s="3">
        <v>1229</v>
      </c>
      <c r="H39" s="3">
        <v>1224</v>
      </c>
      <c r="I39" s="3">
        <v>1219</v>
      </c>
      <c r="J39" s="3">
        <v>1214</v>
      </c>
      <c r="K39" s="3">
        <v>1210</v>
      </c>
      <c r="L39" s="3">
        <v>1205</v>
      </c>
      <c r="M39" s="3">
        <v>1200</v>
      </c>
      <c r="N39" s="3">
        <v>1195</v>
      </c>
      <c r="O39" s="3">
        <v>1191</v>
      </c>
      <c r="P39" s="3">
        <v>1187</v>
      </c>
      <c r="Q39" s="3">
        <v>1182</v>
      </c>
      <c r="R39" s="3">
        <v>1178</v>
      </c>
      <c r="S39" s="3">
        <v>1174</v>
      </c>
      <c r="T39" s="3">
        <v>1171</v>
      </c>
      <c r="U39" s="3">
        <v>1167</v>
      </c>
      <c r="V39" s="3">
        <v>1163</v>
      </c>
      <c r="W39" s="3">
        <v>1160</v>
      </c>
      <c r="X39" s="3">
        <v>1156</v>
      </c>
      <c r="Y39" s="3">
        <v>1153</v>
      </c>
      <c r="Z39" s="3">
        <v>1150</v>
      </c>
      <c r="AA39" s="3">
        <v>1147</v>
      </c>
      <c r="AB39" s="3">
        <v>1144</v>
      </c>
      <c r="AC39" s="3">
        <v>1141</v>
      </c>
      <c r="AD39" s="3">
        <v>1138</v>
      </c>
      <c r="AE39" s="3">
        <v>1135</v>
      </c>
      <c r="AF39" s="3">
        <v>1133</v>
      </c>
      <c r="AG39" s="3">
        <v>1130</v>
      </c>
      <c r="AH39" s="3">
        <v>1128</v>
      </c>
      <c r="AI39" s="3">
        <v>1125</v>
      </c>
      <c r="AJ39" s="3">
        <v>1123</v>
      </c>
      <c r="AK39" s="3">
        <v>1121</v>
      </c>
      <c r="AL39" s="3">
        <v>1119</v>
      </c>
      <c r="AM39" s="3">
        <v>1116</v>
      </c>
      <c r="AN39" s="3">
        <v>1114</v>
      </c>
      <c r="AO39" s="3">
        <v>1112</v>
      </c>
      <c r="AP39" s="3">
        <v>1110</v>
      </c>
      <c r="AQ39" s="3">
        <v>1108</v>
      </c>
      <c r="AR39" s="3">
        <v>1106</v>
      </c>
      <c r="AS39" s="3">
        <v>1104</v>
      </c>
      <c r="AT39" s="3">
        <v>1102</v>
      </c>
      <c r="AU39" s="3">
        <v>1100</v>
      </c>
      <c r="AV39" s="3">
        <v>1099</v>
      </c>
      <c r="AW39" s="3">
        <v>1097</v>
      </c>
      <c r="AX39" s="3">
        <v>1095</v>
      </c>
      <c r="AY39" s="3">
        <v>1093</v>
      </c>
      <c r="AZ39" s="3">
        <v>1091</v>
      </c>
      <c r="BA39" s="3">
        <v>1090</v>
      </c>
      <c r="BB39" s="3">
        <v>1088</v>
      </c>
      <c r="BC39" s="3">
        <v>1086</v>
      </c>
      <c r="BD39" s="3">
        <v>1084</v>
      </c>
      <c r="BE39" s="3">
        <v>1083</v>
      </c>
      <c r="BF39" s="3">
        <v>1081</v>
      </c>
      <c r="BG39" s="3">
        <v>1079</v>
      </c>
      <c r="BH39" s="3">
        <v>1078</v>
      </c>
      <c r="BI39" s="3">
        <v>1076</v>
      </c>
      <c r="BJ39" s="3">
        <v>1074</v>
      </c>
      <c r="BK39" s="3">
        <v>1073</v>
      </c>
      <c r="BL39" s="3">
        <v>1071</v>
      </c>
      <c r="BM39" s="3">
        <v>1070</v>
      </c>
      <c r="BN39" s="3">
        <v>1068</v>
      </c>
    </row>
    <row r="40" spans="2:66" x14ac:dyDescent="0.35">
      <c r="B40">
        <v>53</v>
      </c>
      <c r="C40" s="3">
        <v>1220</v>
      </c>
      <c r="D40" s="3">
        <v>1215</v>
      </c>
      <c r="E40" s="3">
        <v>1210</v>
      </c>
      <c r="F40" s="3">
        <v>1205</v>
      </c>
      <c r="G40" s="3">
        <v>1200</v>
      </c>
      <c r="H40" s="3">
        <v>1196</v>
      </c>
      <c r="I40" s="3">
        <v>1191</v>
      </c>
      <c r="J40" s="3">
        <v>1186</v>
      </c>
      <c r="K40" s="3">
        <v>1181</v>
      </c>
      <c r="L40" s="3">
        <v>1177</v>
      </c>
      <c r="M40" s="3">
        <v>1172</v>
      </c>
      <c r="N40" s="3">
        <v>1167</v>
      </c>
      <c r="O40" s="3">
        <v>1163</v>
      </c>
      <c r="P40" s="3">
        <v>1159</v>
      </c>
      <c r="Q40" s="3">
        <v>1155</v>
      </c>
      <c r="R40" s="3">
        <v>1151</v>
      </c>
      <c r="S40" s="3">
        <v>1147</v>
      </c>
      <c r="T40" s="3">
        <v>1143</v>
      </c>
      <c r="U40" s="3">
        <v>1140</v>
      </c>
      <c r="V40" s="3">
        <v>1136</v>
      </c>
      <c r="W40" s="3">
        <v>1133</v>
      </c>
      <c r="X40" s="3">
        <v>1129</v>
      </c>
      <c r="Y40" s="3">
        <v>1126</v>
      </c>
      <c r="Z40" s="3">
        <v>1123</v>
      </c>
      <c r="AA40" s="3">
        <v>1120</v>
      </c>
      <c r="AB40" s="3">
        <v>1117</v>
      </c>
      <c r="AC40" s="3">
        <v>1114</v>
      </c>
      <c r="AD40" s="3">
        <v>1112</v>
      </c>
      <c r="AE40" s="3">
        <v>1109</v>
      </c>
      <c r="AF40" s="3">
        <v>1106</v>
      </c>
      <c r="AG40" s="3">
        <v>1104</v>
      </c>
      <c r="AH40" s="3">
        <v>1102</v>
      </c>
      <c r="AI40" s="3">
        <v>1099</v>
      </c>
      <c r="AJ40" s="3">
        <v>1097</v>
      </c>
      <c r="AK40" s="3">
        <v>1095</v>
      </c>
      <c r="AL40" s="3">
        <v>1092</v>
      </c>
      <c r="AM40" s="3">
        <v>1090</v>
      </c>
      <c r="AN40" s="3">
        <v>1088</v>
      </c>
      <c r="AO40" s="3">
        <v>1086</v>
      </c>
      <c r="AP40" s="3">
        <v>1084</v>
      </c>
      <c r="AQ40" s="3">
        <v>1082</v>
      </c>
      <c r="AR40" s="3">
        <v>1080</v>
      </c>
      <c r="AS40" s="3">
        <v>1078</v>
      </c>
      <c r="AT40" s="3">
        <v>1077</v>
      </c>
      <c r="AU40" s="3">
        <v>1075</v>
      </c>
      <c r="AV40" s="3">
        <v>1073</v>
      </c>
      <c r="AW40" s="3">
        <v>1071</v>
      </c>
      <c r="AX40" s="3">
        <v>1069</v>
      </c>
      <c r="AY40" s="3">
        <v>1068</v>
      </c>
      <c r="AZ40" s="3">
        <v>1066</v>
      </c>
      <c r="BA40" s="3">
        <v>1064</v>
      </c>
      <c r="BB40" s="3">
        <v>1062</v>
      </c>
      <c r="BC40" s="3">
        <v>1061</v>
      </c>
      <c r="BD40" s="3">
        <v>1059</v>
      </c>
      <c r="BE40" s="3">
        <v>1057</v>
      </c>
      <c r="BF40" s="3">
        <v>1056</v>
      </c>
      <c r="BG40" s="3">
        <v>1054</v>
      </c>
      <c r="BH40" s="3">
        <v>1052</v>
      </c>
      <c r="BI40" s="3">
        <v>1051</v>
      </c>
      <c r="BJ40" s="3">
        <v>1049</v>
      </c>
      <c r="BK40" s="3">
        <v>1048</v>
      </c>
      <c r="BL40" s="3">
        <v>1046</v>
      </c>
      <c r="BM40" s="3">
        <v>1044</v>
      </c>
      <c r="BN40" s="3">
        <v>1043</v>
      </c>
    </row>
    <row r="41" spans="2:66" x14ac:dyDescent="0.35">
      <c r="B41">
        <v>54</v>
      </c>
      <c r="C41" s="3">
        <v>1191</v>
      </c>
      <c r="D41" s="3">
        <v>1186</v>
      </c>
      <c r="E41" s="3">
        <v>1182</v>
      </c>
      <c r="F41" s="3">
        <v>1177</v>
      </c>
      <c r="G41" s="3">
        <v>1172</v>
      </c>
      <c r="H41" s="3">
        <v>1167</v>
      </c>
      <c r="I41" s="3">
        <v>1163</v>
      </c>
      <c r="J41" s="3">
        <v>1158</v>
      </c>
      <c r="K41" s="3">
        <v>1153</v>
      </c>
      <c r="L41" s="3">
        <v>1149</v>
      </c>
      <c r="M41" s="3">
        <v>1144</v>
      </c>
      <c r="N41" s="3">
        <v>1140</v>
      </c>
      <c r="O41" s="3">
        <v>1136</v>
      </c>
      <c r="P41" s="3">
        <v>1132</v>
      </c>
      <c r="Q41" s="3">
        <v>1128</v>
      </c>
      <c r="R41" s="3">
        <v>1124</v>
      </c>
      <c r="S41" s="3">
        <v>1120</v>
      </c>
      <c r="T41" s="3">
        <v>1116</v>
      </c>
      <c r="U41" s="3">
        <v>1113</v>
      </c>
      <c r="V41" s="3">
        <v>1109</v>
      </c>
      <c r="W41" s="3">
        <v>1106</v>
      </c>
      <c r="X41" s="3">
        <v>1103</v>
      </c>
      <c r="Y41" s="3">
        <v>1100</v>
      </c>
      <c r="Z41" s="3">
        <v>1097</v>
      </c>
      <c r="AA41" s="3">
        <v>1094</v>
      </c>
      <c r="AB41" s="3">
        <v>1091</v>
      </c>
      <c r="AC41" s="3">
        <v>1088</v>
      </c>
      <c r="AD41" s="3">
        <v>1086</v>
      </c>
      <c r="AE41" s="3">
        <v>1083</v>
      </c>
      <c r="AF41" s="3">
        <v>1080</v>
      </c>
      <c r="AG41" s="3">
        <v>1078</v>
      </c>
      <c r="AH41" s="3">
        <v>1076</v>
      </c>
      <c r="AI41" s="3">
        <v>1073</v>
      </c>
      <c r="AJ41" s="3">
        <v>1071</v>
      </c>
      <c r="AK41" s="3">
        <v>1069</v>
      </c>
      <c r="AL41" s="3">
        <v>1067</v>
      </c>
      <c r="AM41" s="3">
        <v>1065</v>
      </c>
      <c r="AN41" s="3">
        <v>1063</v>
      </c>
      <c r="AO41" s="3">
        <v>1061</v>
      </c>
      <c r="AP41" s="3">
        <v>1059</v>
      </c>
      <c r="AQ41" s="3">
        <v>1057</v>
      </c>
      <c r="AR41" s="3">
        <v>1055</v>
      </c>
      <c r="AS41" s="3">
        <v>1053</v>
      </c>
      <c r="AT41" s="3">
        <v>1051</v>
      </c>
      <c r="AU41" s="3">
        <v>1050</v>
      </c>
      <c r="AV41" s="3">
        <v>1048</v>
      </c>
      <c r="AW41" s="3">
        <v>1046</v>
      </c>
      <c r="AX41" s="3">
        <v>1044</v>
      </c>
      <c r="AY41" s="3">
        <v>1043</v>
      </c>
      <c r="AZ41" s="3">
        <v>1041</v>
      </c>
      <c r="BA41" s="3">
        <v>1039</v>
      </c>
      <c r="BB41" s="3">
        <v>1037</v>
      </c>
      <c r="BC41" s="3">
        <v>1036</v>
      </c>
      <c r="BD41" s="3">
        <v>1034</v>
      </c>
      <c r="BE41" s="3">
        <v>1033</v>
      </c>
      <c r="BF41" s="3">
        <v>1031</v>
      </c>
      <c r="BG41" s="3">
        <v>1029</v>
      </c>
      <c r="BH41" s="3">
        <v>1028</v>
      </c>
      <c r="BI41" s="3">
        <v>1026</v>
      </c>
      <c r="BJ41" s="3">
        <v>1025</v>
      </c>
      <c r="BK41" s="3">
        <v>1023</v>
      </c>
      <c r="BL41" s="3">
        <v>1021</v>
      </c>
      <c r="BM41" s="3">
        <v>1020</v>
      </c>
      <c r="BN41" s="3">
        <v>1018</v>
      </c>
    </row>
    <row r="42" spans="2:66" x14ac:dyDescent="0.35">
      <c r="B42">
        <v>55</v>
      </c>
      <c r="C42" s="3">
        <v>1163</v>
      </c>
      <c r="D42" s="3">
        <v>1158</v>
      </c>
      <c r="E42" s="3">
        <v>1154</v>
      </c>
      <c r="F42" s="3">
        <v>1149</v>
      </c>
      <c r="G42" s="3">
        <v>1144</v>
      </c>
      <c r="H42" s="3">
        <v>1140</v>
      </c>
      <c r="I42" s="3">
        <v>1135</v>
      </c>
      <c r="J42" s="3">
        <v>1130</v>
      </c>
      <c r="K42" s="3">
        <v>1126</v>
      </c>
      <c r="L42" s="3">
        <v>1121</v>
      </c>
      <c r="M42" s="3">
        <v>1117</v>
      </c>
      <c r="N42" s="3">
        <v>1113</v>
      </c>
      <c r="O42" s="3">
        <v>1109</v>
      </c>
      <c r="P42" s="3">
        <v>1105</v>
      </c>
      <c r="Q42" s="3">
        <v>1101</v>
      </c>
      <c r="R42" s="3">
        <v>1097</v>
      </c>
      <c r="S42" s="3">
        <v>1094</v>
      </c>
      <c r="T42" s="3">
        <v>1090</v>
      </c>
      <c r="U42" s="3">
        <v>1087</v>
      </c>
      <c r="V42" s="3">
        <v>1083</v>
      </c>
      <c r="W42" s="3">
        <v>1080</v>
      </c>
      <c r="X42" s="3">
        <v>1077</v>
      </c>
      <c r="Y42" s="3">
        <v>1074</v>
      </c>
      <c r="Z42" s="3">
        <v>1071</v>
      </c>
      <c r="AA42" s="3">
        <v>1068</v>
      </c>
      <c r="AB42" s="3">
        <v>1065</v>
      </c>
      <c r="AC42" s="3">
        <v>1063</v>
      </c>
      <c r="AD42" s="3">
        <v>1060</v>
      </c>
      <c r="AE42" s="3">
        <v>1058</v>
      </c>
      <c r="AF42" s="3">
        <v>1055</v>
      </c>
      <c r="AG42" s="3">
        <v>1053</v>
      </c>
      <c r="AH42" s="3">
        <v>1050</v>
      </c>
      <c r="AI42" s="3">
        <v>1048</v>
      </c>
      <c r="AJ42" s="3">
        <v>1046</v>
      </c>
      <c r="AK42" s="3">
        <v>1044</v>
      </c>
      <c r="AL42" s="3">
        <v>1042</v>
      </c>
      <c r="AM42" s="3">
        <v>1040</v>
      </c>
      <c r="AN42" s="3">
        <v>1038</v>
      </c>
      <c r="AO42" s="3">
        <v>1036</v>
      </c>
      <c r="AP42" s="3">
        <v>1034</v>
      </c>
      <c r="AQ42" s="3">
        <v>1032</v>
      </c>
      <c r="AR42" s="3">
        <v>1030</v>
      </c>
      <c r="AS42" s="3">
        <v>1028</v>
      </c>
      <c r="AT42" s="3">
        <v>1027</v>
      </c>
      <c r="AU42" s="3">
        <v>1025</v>
      </c>
      <c r="AV42" s="3">
        <v>1023</v>
      </c>
      <c r="AW42" s="3">
        <v>1021</v>
      </c>
      <c r="AX42" s="3">
        <v>1020</v>
      </c>
      <c r="AY42" s="3">
        <v>1018</v>
      </c>
      <c r="AZ42" s="3">
        <v>1016</v>
      </c>
      <c r="BA42" s="3">
        <v>1015</v>
      </c>
      <c r="BB42" s="3">
        <v>1013</v>
      </c>
      <c r="BC42" s="3">
        <v>1011</v>
      </c>
      <c r="BD42" s="3">
        <v>1010</v>
      </c>
      <c r="BE42" s="3">
        <v>1008</v>
      </c>
      <c r="BF42" s="3">
        <v>1007</v>
      </c>
      <c r="BG42" s="3">
        <v>1005</v>
      </c>
      <c r="BH42" s="3">
        <v>1003</v>
      </c>
      <c r="BI42" s="3">
        <v>1002</v>
      </c>
      <c r="BJ42" s="3">
        <v>1000</v>
      </c>
      <c r="BK42">
        <v>999</v>
      </c>
      <c r="BL42">
        <v>997</v>
      </c>
      <c r="BM42">
        <v>996</v>
      </c>
      <c r="BN42">
        <v>994</v>
      </c>
    </row>
    <row r="43" spans="2:66" x14ac:dyDescent="0.35">
      <c r="B43">
        <v>56</v>
      </c>
      <c r="C43" s="3">
        <v>1135</v>
      </c>
      <c r="D43" s="3">
        <v>1131</v>
      </c>
      <c r="E43" s="3">
        <v>1126</v>
      </c>
      <c r="F43" s="3">
        <v>1122</v>
      </c>
      <c r="G43" s="3">
        <v>1117</v>
      </c>
      <c r="H43" s="3">
        <v>1112</v>
      </c>
      <c r="I43" s="3">
        <v>1108</v>
      </c>
      <c r="J43" s="3">
        <v>1103</v>
      </c>
      <c r="K43" s="3">
        <v>1099</v>
      </c>
      <c r="L43" s="3">
        <v>1095</v>
      </c>
      <c r="M43" s="3">
        <v>1090</v>
      </c>
      <c r="N43" s="3">
        <v>1086</v>
      </c>
      <c r="O43" s="3">
        <v>1082</v>
      </c>
      <c r="P43" s="3">
        <v>1079</v>
      </c>
      <c r="Q43" s="3">
        <v>1075</v>
      </c>
      <c r="R43" s="3">
        <v>1071</v>
      </c>
      <c r="S43" s="3">
        <v>1068</v>
      </c>
      <c r="T43" s="3">
        <v>1064</v>
      </c>
      <c r="U43" s="3">
        <v>1061</v>
      </c>
      <c r="V43" s="3">
        <v>1058</v>
      </c>
      <c r="W43" s="3">
        <v>1054</v>
      </c>
      <c r="X43" s="3">
        <v>1051</v>
      </c>
      <c r="Y43" s="3">
        <v>1048</v>
      </c>
      <c r="Z43" s="3">
        <v>1046</v>
      </c>
      <c r="AA43" s="3">
        <v>1043</v>
      </c>
      <c r="AB43" s="3">
        <v>1040</v>
      </c>
      <c r="AC43" s="3">
        <v>1038</v>
      </c>
      <c r="AD43" s="3">
        <v>1035</v>
      </c>
      <c r="AE43" s="3">
        <v>1033</v>
      </c>
      <c r="AF43" s="3">
        <v>1030</v>
      </c>
      <c r="AG43" s="3">
        <v>1028</v>
      </c>
      <c r="AH43" s="3">
        <v>1026</v>
      </c>
      <c r="AI43" s="3">
        <v>1024</v>
      </c>
      <c r="AJ43" s="3">
        <v>1021</v>
      </c>
      <c r="AK43" s="3">
        <v>1019</v>
      </c>
      <c r="AL43" s="3">
        <v>1017</v>
      </c>
      <c r="AM43" s="3">
        <v>1015</v>
      </c>
      <c r="AN43" s="3">
        <v>1013</v>
      </c>
      <c r="AO43" s="3">
        <v>1012</v>
      </c>
      <c r="AP43" s="3">
        <v>1010</v>
      </c>
      <c r="AQ43" s="3">
        <v>1008</v>
      </c>
      <c r="AR43" s="3">
        <v>1006</v>
      </c>
      <c r="AS43" s="3">
        <v>1004</v>
      </c>
      <c r="AT43" s="3">
        <v>1003</v>
      </c>
      <c r="AU43" s="3">
        <v>1001</v>
      </c>
      <c r="AV43">
        <v>999</v>
      </c>
      <c r="AW43">
        <v>997</v>
      </c>
      <c r="AX43">
        <v>996</v>
      </c>
      <c r="AY43">
        <v>994</v>
      </c>
      <c r="AZ43">
        <v>992</v>
      </c>
      <c r="BA43">
        <v>991</v>
      </c>
      <c r="BB43">
        <v>989</v>
      </c>
      <c r="BC43">
        <v>988</v>
      </c>
      <c r="BD43">
        <v>986</v>
      </c>
      <c r="BE43">
        <v>984</v>
      </c>
      <c r="BF43">
        <v>983</v>
      </c>
      <c r="BG43">
        <v>981</v>
      </c>
      <c r="BH43">
        <v>980</v>
      </c>
      <c r="BI43">
        <v>978</v>
      </c>
      <c r="BJ43">
        <v>977</v>
      </c>
      <c r="BK43">
        <v>975</v>
      </c>
      <c r="BL43">
        <v>974</v>
      </c>
      <c r="BM43">
        <v>972</v>
      </c>
      <c r="BN43">
        <v>971</v>
      </c>
    </row>
    <row r="44" spans="2:66" x14ac:dyDescent="0.35">
      <c r="B44">
        <v>57</v>
      </c>
      <c r="C44" s="3">
        <v>1108</v>
      </c>
      <c r="D44" s="3">
        <v>1104</v>
      </c>
      <c r="E44" s="3">
        <v>1099</v>
      </c>
      <c r="F44" s="3">
        <v>1095</v>
      </c>
      <c r="G44" s="3">
        <v>1090</v>
      </c>
      <c r="H44" s="3">
        <v>1086</v>
      </c>
      <c r="I44" s="3">
        <v>1081</v>
      </c>
      <c r="J44" s="3">
        <v>1077</v>
      </c>
      <c r="K44" s="3">
        <v>1073</v>
      </c>
      <c r="L44" s="3">
        <v>1068</v>
      </c>
      <c r="M44" s="3">
        <v>1064</v>
      </c>
      <c r="N44" s="3">
        <v>1060</v>
      </c>
      <c r="O44" s="3">
        <v>1057</v>
      </c>
      <c r="P44" s="3">
        <v>1053</v>
      </c>
      <c r="Q44" s="3">
        <v>1049</v>
      </c>
      <c r="R44" s="3">
        <v>1046</v>
      </c>
      <c r="S44" s="3">
        <v>1042</v>
      </c>
      <c r="T44" s="3">
        <v>1039</v>
      </c>
      <c r="U44" s="3">
        <v>1036</v>
      </c>
      <c r="V44" s="3">
        <v>1032</v>
      </c>
      <c r="W44" s="3">
        <v>1029</v>
      </c>
      <c r="X44" s="3">
        <v>1026</v>
      </c>
      <c r="Y44" s="3">
        <v>1024</v>
      </c>
      <c r="Z44" s="3">
        <v>1021</v>
      </c>
      <c r="AA44" s="3">
        <v>1018</v>
      </c>
      <c r="AB44" s="3">
        <v>1016</v>
      </c>
      <c r="AC44" s="3">
        <v>1013</v>
      </c>
      <c r="AD44" s="3">
        <v>1011</v>
      </c>
      <c r="AE44" s="3">
        <v>1008</v>
      </c>
      <c r="AF44" s="3">
        <v>1006</v>
      </c>
      <c r="AG44" s="3">
        <v>1004</v>
      </c>
      <c r="AH44" s="3">
        <v>1001</v>
      </c>
      <c r="AI44">
        <v>999</v>
      </c>
      <c r="AJ44">
        <v>997</v>
      </c>
      <c r="AK44">
        <v>995</v>
      </c>
      <c r="AL44">
        <v>993</v>
      </c>
      <c r="AM44">
        <v>991</v>
      </c>
      <c r="AN44">
        <v>990</v>
      </c>
      <c r="AO44">
        <v>988</v>
      </c>
      <c r="AP44">
        <v>986</v>
      </c>
      <c r="AQ44">
        <v>984</v>
      </c>
      <c r="AR44">
        <v>982</v>
      </c>
      <c r="AS44">
        <v>981</v>
      </c>
      <c r="AT44">
        <v>979</v>
      </c>
      <c r="AU44">
        <v>977</v>
      </c>
      <c r="AV44">
        <v>976</v>
      </c>
      <c r="AW44">
        <v>974</v>
      </c>
      <c r="AX44">
        <v>972</v>
      </c>
      <c r="AY44">
        <v>971</v>
      </c>
      <c r="AZ44">
        <v>969</v>
      </c>
      <c r="BA44">
        <v>967</v>
      </c>
      <c r="BB44">
        <v>966</v>
      </c>
      <c r="BC44">
        <v>964</v>
      </c>
      <c r="BD44">
        <v>963</v>
      </c>
      <c r="BE44">
        <v>961</v>
      </c>
      <c r="BF44">
        <v>960</v>
      </c>
      <c r="BG44">
        <v>958</v>
      </c>
      <c r="BH44">
        <v>957</v>
      </c>
      <c r="BI44">
        <v>955</v>
      </c>
      <c r="BJ44">
        <v>954</v>
      </c>
      <c r="BK44">
        <v>952</v>
      </c>
      <c r="BL44">
        <v>951</v>
      </c>
      <c r="BM44">
        <v>949</v>
      </c>
      <c r="BN44">
        <v>948</v>
      </c>
    </row>
    <row r="45" spans="2:66" x14ac:dyDescent="0.35">
      <c r="B45">
        <v>58</v>
      </c>
      <c r="C45" s="3">
        <v>1081</v>
      </c>
      <c r="D45" s="3">
        <v>1077</v>
      </c>
      <c r="E45" s="3">
        <v>1073</v>
      </c>
      <c r="F45" s="3">
        <v>1068</v>
      </c>
      <c r="G45" s="3">
        <v>1064</v>
      </c>
      <c r="H45" s="3">
        <v>1059</v>
      </c>
      <c r="I45" s="3">
        <v>1055</v>
      </c>
      <c r="J45" s="3">
        <v>1051</v>
      </c>
      <c r="K45" s="3">
        <v>1047</v>
      </c>
      <c r="L45" s="3">
        <v>1043</v>
      </c>
      <c r="M45" s="3">
        <v>1039</v>
      </c>
      <c r="N45" s="3">
        <v>1035</v>
      </c>
      <c r="O45" s="3">
        <v>1031</v>
      </c>
      <c r="P45" s="3">
        <v>1028</v>
      </c>
      <c r="Q45" s="3">
        <v>1024</v>
      </c>
      <c r="R45" s="3">
        <v>1021</v>
      </c>
      <c r="S45" s="3">
        <v>1017</v>
      </c>
      <c r="T45" s="3">
        <v>1014</v>
      </c>
      <c r="U45" s="3">
        <v>1011</v>
      </c>
      <c r="V45" s="3">
        <v>1008</v>
      </c>
      <c r="W45" s="3">
        <v>1005</v>
      </c>
      <c r="X45" s="3">
        <v>1002</v>
      </c>
      <c r="Y45">
        <v>999</v>
      </c>
      <c r="Z45">
        <v>997</v>
      </c>
      <c r="AA45">
        <v>994</v>
      </c>
      <c r="AB45">
        <v>991</v>
      </c>
      <c r="AC45">
        <v>989</v>
      </c>
      <c r="AD45">
        <v>987</v>
      </c>
      <c r="AE45">
        <v>984</v>
      </c>
      <c r="AF45">
        <v>982</v>
      </c>
      <c r="AG45">
        <v>980</v>
      </c>
      <c r="AH45">
        <v>978</v>
      </c>
      <c r="AI45">
        <v>976</v>
      </c>
      <c r="AJ45">
        <v>974</v>
      </c>
      <c r="AK45">
        <v>972</v>
      </c>
      <c r="AL45">
        <v>970</v>
      </c>
      <c r="AM45">
        <v>968</v>
      </c>
      <c r="AN45">
        <v>966</v>
      </c>
      <c r="AO45">
        <v>964</v>
      </c>
      <c r="AP45">
        <v>963</v>
      </c>
      <c r="AQ45">
        <v>961</v>
      </c>
      <c r="AR45">
        <v>959</v>
      </c>
      <c r="AS45">
        <v>958</v>
      </c>
      <c r="AT45">
        <v>956</v>
      </c>
      <c r="AU45">
        <v>954</v>
      </c>
      <c r="AV45">
        <v>953</v>
      </c>
      <c r="AW45">
        <v>951</v>
      </c>
      <c r="AX45">
        <v>949</v>
      </c>
      <c r="AY45">
        <v>948</v>
      </c>
      <c r="AZ45">
        <v>946</v>
      </c>
      <c r="BA45">
        <v>945</v>
      </c>
      <c r="BB45">
        <v>943</v>
      </c>
      <c r="BC45">
        <v>942</v>
      </c>
      <c r="BD45">
        <v>940</v>
      </c>
      <c r="BE45">
        <v>939</v>
      </c>
      <c r="BF45">
        <v>937</v>
      </c>
      <c r="BG45">
        <v>936</v>
      </c>
      <c r="BH45">
        <v>934</v>
      </c>
      <c r="BI45">
        <v>933</v>
      </c>
      <c r="BJ45">
        <v>931</v>
      </c>
      <c r="BK45">
        <v>930</v>
      </c>
      <c r="BL45">
        <v>928</v>
      </c>
      <c r="BM45">
        <v>927</v>
      </c>
      <c r="BN45">
        <v>926</v>
      </c>
    </row>
    <row r="46" spans="2:66" x14ac:dyDescent="0.35">
      <c r="B46">
        <v>59</v>
      </c>
      <c r="C46" s="3">
        <v>1055</v>
      </c>
      <c r="D46" s="3">
        <v>1051</v>
      </c>
      <c r="E46" s="3">
        <v>1046</v>
      </c>
      <c r="F46" s="3">
        <v>1042</v>
      </c>
      <c r="G46" s="3">
        <v>1038</v>
      </c>
      <c r="H46" s="3">
        <v>1033</v>
      </c>
      <c r="I46" s="3">
        <v>1029</v>
      </c>
      <c r="J46" s="3">
        <v>1025</v>
      </c>
      <c r="K46" s="3">
        <v>1021</v>
      </c>
      <c r="L46" s="3">
        <v>1017</v>
      </c>
      <c r="M46" s="3">
        <v>1014</v>
      </c>
      <c r="N46" s="3">
        <v>1010</v>
      </c>
      <c r="O46" s="3">
        <v>1006</v>
      </c>
      <c r="P46" s="3">
        <v>1003</v>
      </c>
      <c r="Q46">
        <v>999</v>
      </c>
      <c r="R46">
        <v>996</v>
      </c>
      <c r="S46">
        <v>993</v>
      </c>
      <c r="T46">
        <v>990</v>
      </c>
      <c r="U46">
        <v>987</v>
      </c>
      <c r="V46">
        <v>984</v>
      </c>
      <c r="W46">
        <v>981</v>
      </c>
      <c r="X46">
        <v>978</v>
      </c>
      <c r="Y46">
        <v>975</v>
      </c>
      <c r="Z46">
        <v>973</v>
      </c>
      <c r="AA46">
        <v>970</v>
      </c>
      <c r="AB46">
        <v>968</v>
      </c>
      <c r="AC46">
        <v>965</v>
      </c>
      <c r="AD46">
        <v>963</v>
      </c>
      <c r="AE46">
        <v>961</v>
      </c>
      <c r="AF46">
        <v>959</v>
      </c>
      <c r="AG46">
        <v>957</v>
      </c>
      <c r="AH46">
        <v>955</v>
      </c>
      <c r="AI46">
        <v>953</v>
      </c>
      <c r="AJ46">
        <v>951</v>
      </c>
      <c r="AK46">
        <v>949</v>
      </c>
      <c r="AL46">
        <v>947</v>
      </c>
      <c r="AM46">
        <v>945</v>
      </c>
      <c r="AN46">
        <v>943</v>
      </c>
      <c r="AO46">
        <v>942</v>
      </c>
      <c r="AP46">
        <v>940</v>
      </c>
      <c r="AQ46">
        <v>938</v>
      </c>
      <c r="AR46">
        <v>937</v>
      </c>
      <c r="AS46">
        <v>935</v>
      </c>
      <c r="AT46">
        <v>933</v>
      </c>
      <c r="AU46">
        <v>932</v>
      </c>
      <c r="AV46">
        <v>930</v>
      </c>
      <c r="AW46">
        <v>929</v>
      </c>
      <c r="AX46">
        <v>927</v>
      </c>
      <c r="AY46">
        <v>926</v>
      </c>
      <c r="AZ46">
        <v>924</v>
      </c>
      <c r="BA46">
        <v>923</v>
      </c>
      <c r="BB46">
        <v>921</v>
      </c>
      <c r="BC46">
        <v>920</v>
      </c>
      <c r="BD46">
        <v>918</v>
      </c>
      <c r="BE46">
        <v>917</v>
      </c>
      <c r="BF46">
        <v>915</v>
      </c>
      <c r="BG46">
        <v>914</v>
      </c>
      <c r="BH46">
        <v>912</v>
      </c>
      <c r="BI46">
        <v>911</v>
      </c>
      <c r="BJ46">
        <v>909</v>
      </c>
      <c r="BK46">
        <v>908</v>
      </c>
      <c r="BL46">
        <v>907</v>
      </c>
      <c r="BM46">
        <v>905</v>
      </c>
      <c r="BN46">
        <v>904</v>
      </c>
    </row>
    <row r="47" spans="2:66" x14ac:dyDescent="0.35">
      <c r="B47">
        <v>60</v>
      </c>
      <c r="C47" s="3">
        <v>1029</v>
      </c>
      <c r="D47" s="3">
        <v>1025</v>
      </c>
      <c r="E47" s="3">
        <v>1021</v>
      </c>
      <c r="F47" s="3">
        <v>1016</v>
      </c>
      <c r="G47" s="3">
        <v>1012</v>
      </c>
      <c r="H47" s="3">
        <v>1008</v>
      </c>
      <c r="I47" s="3">
        <v>1004</v>
      </c>
      <c r="J47" s="3">
        <v>1000</v>
      </c>
      <c r="K47">
        <v>996</v>
      </c>
      <c r="L47">
        <v>993</v>
      </c>
      <c r="M47">
        <v>989</v>
      </c>
      <c r="N47">
        <v>985</v>
      </c>
      <c r="O47">
        <v>982</v>
      </c>
      <c r="P47">
        <v>979</v>
      </c>
      <c r="Q47">
        <v>975</v>
      </c>
      <c r="R47">
        <v>972</v>
      </c>
      <c r="S47">
        <v>969</v>
      </c>
      <c r="T47">
        <v>966</v>
      </c>
      <c r="U47">
        <v>963</v>
      </c>
      <c r="V47">
        <v>960</v>
      </c>
      <c r="W47">
        <v>957</v>
      </c>
      <c r="X47">
        <v>955</v>
      </c>
      <c r="Y47">
        <v>952</v>
      </c>
      <c r="Z47">
        <v>950</v>
      </c>
      <c r="AA47">
        <v>947</v>
      </c>
      <c r="AB47">
        <v>945</v>
      </c>
      <c r="AC47">
        <v>943</v>
      </c>
      <c r="AD47">
        <v>940</v>
      </c>
      <c r="AE47">
        <v>938</v>
      </c>
      <c r="AF47">
        <v>936</v>
      </c>
      <c r="AG47">
        <v>934</v>
      </c>
      <c r="AH47">
        <v>932</v>
      </c>
      <c r="AI47">
        <v>930</v>
      </c>
      <c r="AJ47">
        <v>928</v>
      </c>
      <c r="AK47">
        <v>927</v>
      </c>
      <c r="AL47">
        <v>925</v>
      </c>
      <c r="AM47">
        <v>923</v>
      </c>
      <c r="AN47">
        <v>921</v>
      </c>
      <c r="AO47">
        <v>920</v>
      </c>
      <c r="AP47">
        <v>918</v>
      </c>
      <c r="AQ47">
        <v>916</v>
      </c>
      <c r="AR47">
        <v>915</v>
      </c>
      <c r="AS47">
        <v>913</v>
      </c>
      <c r="AT47">
        <v>912</v>
      </c>
      <c r="AU47">
        <v>910</v>
      </c>
      <c r="AV47">
        <v>908</v>
      </c>
      <c r="AW47">
        <v>907</v>
      </c>
      <c r="AX47">
        <v>905</v>
      </c>
      <c r="AY47">
        <v>904</v>
      </c>
      <c r="AZ47">
        <v>902</v>
      </c>
      <c r="BA47">
        <v>901</v>
      </c>
      <c r="BB47">
        <v>899</v>
      </c>
      <c r="BC47">
        <v>898</v>
      </c>
      <c r="BD47">
        <v>897</v>
      </c>
      <c r="BE47">
        <v>895</v>
      </c>
      <c r="BF47">
        <v>894</v>
      </c>
      <c r="BG47">
        <v>892</v>
      </c>
      <c r="BH47">
        <v>891</v>
      </c>
      <c r="BI47">
        <v>890</v>
      </c>
      <c r="BJ47">
        <v>888</v>
      </c>
      <c r="BK47">
        <v>887</v>
      </c>
      <c r="BL47">
        <v>885</v>
      </c>
      <c r="BM47">
        <v>884</v>
      </c>
      <c r="BN47">
        <v>883</v>
      </c>
    </row>
    <row r="48" spans="2:66" x14ac:dyDescent="0.35">
      <c r="B48">
        <v>61</v>
      </c>
      <c r="C48" s="3">
        <v>1004</v>
      </c>
      <c r="D48" s="3">
        <v>1000</v>
      </c>
      <c r="E48">
        <v>995</v>
      </c>
      <c r="F48">
        <v>991</v>
      </c>
      <c r="G48">
        <v>987</v>
      </c>
      <c r="H48">
        <v>983</v>
      </c>
      <c r="I48">
        <v>980</v>
      </c>
      <c r="J48">
        <v>976</v>
      </c>
      <c r="K48">
        <v>972</v>
      </c>
      <c r="L48">
        <v>968</v>
      </c>
      <c r="M48">
        <v>965</v>
      </c>
      <c r="N48">
        <v>962</v>
      </c>
      <c r="O48">
        <v>958</v>
      </c>
      <c r="P48">
        <v>955</v>
      </c>
      <c r="Q48">
        <v>952</v>
      </c>
      <c r="R48">
        <v>949</v>
      </c>
      <c r="S48">
        <v>946</v>
      </c>
      <c r="T48">
        <v>943</v>
      </c>
      <c r="U48">
        <v>940</v>
      </c>
      <c r="V48">
        <v>937</v>
      </c>
      <c r="W48">
        <v>935</v>
      </c>
      <c r="X48">
        <v>932</v>
      </c>
      <c r="Y48">
        <v>930</v>
      </c>
      <c r="Z48">
        <v>927</v>
      </c>
      <c r="AA48">
        <v>925</v>
      </c>
      <c r="AB48">
        <v>923</v>
      </c>
      <c r="AC48">
        <v>920</v>
      </c>
      <c r="AD48">
        <v>918</v>
      </c>
      <c r="AE48">
        <v>916</v>
      </c>
      <c r="AF48">
        <v>914</v>
      </c>
      <c r="AG48">
        <v>912</v>
      </c>
      <c r="AH48">
        <v>910</v>
      </c>
      <c r="AI48">
        <v>908</v>
      </c>
      <c r="AJ48">
        <v>907</v>
      </c>
      <c r="AK48">
        <v>905</v>
      </c>
      <c r="AL48">
        <v>903</v>
      </c>
      <c r="AM48">
        <v>901</v>
      </c>
      <c r="AN48">
        <v>900</v>
      </c>
      <c r="AO48">
        <v>898</v>
      </c>
      <c r="AP48">
        <v>896</v>
      </c>
      <c r="AQ48">
        <v>895</v>
      </c>
      <c r="AR48">
        <v>893</v>
      </c>
      <c r="AS48">
        <v>892</v>
      </c>
      <c r="AT48">
        <v>890</v>
      </c>
      <c r="AU48">
        <v>889</v>
      </c>
      <c r="AV48">
        <v>887</v>
      </c>
      <c r="AW48">
        <v>886</v>
      </c>
      <c r="AX48">
        <v>884</v>
      </c>
      <c r="AY48">
        <v>883</v>
      </c>
      <c r="AZ48">
        <v>881</v>
      </c>
      <c r="BA48">
        <v>880</v>
      </c>
      <c r="BB48">
        <v>879</v>
      </c>
      <c r="BC48">
        <v>877</v>
      </c>
      <c r="BD48">
        <v>876</v>
      </c>
      <c r="BE48">
        <v>874</v>
      </c>
      <c r="BF48">
        <v>873</v>
      </c>
      <c r="BG48">
        <v>872</v>
      </c>
      <c r="BH48">
        <v>870</v>
      </c>
      <c r="BI48">
        <v>869</v>
      </c>
      <c r="BJ48">
        <v>868</v>
      </c>
      <c r="BK48">
        <v>866</v>
      </c>
      <c r="BL48">
        <v>865</v>
      </c>
      <c r="BM48">
        <v>864</v>
      </c>
      <c r="BN48">
        <v>862</v>
      </c>
    </row>
    <row r="49" spans="2:66" x14ac:dyDescent="0.35">
      <c r="B49">
        <v>62</v>
      </c>
      <c r="C49">
        <v>979</v>
      </c>
      <c r="D49">
        <v>975</v>
      </c>
      <c r="E49">
        <v>971</v>
      </c>
      <c r="F49">
        <v>967</v>
      </c>
      <c r="G49">
        <v>963</v>
      </c>
      <c r="H49">
        <v>959</v>
      </c>
      <c r="I49">
        <v>955</v>
      </c>
      <c r="J49">
        <v>952</v>
      </c>
      <c r="K49">
        <v>948</v>
      </c>
      <c r="L49">
        <v>945</v>
      </c>
      <c r="M49">
        <v>941</v>
      </c>
      <c r="N49">
        <v>938</v>
      </c>
      <c r="O49">
        <v>935</v>
      </c>
      <c r="P49">
        <v>932</v>
      </c>
      <c r="Q49">
        <v>929</v>
      </c>
      <c r="R49">
        <v>926</v>
      </c>
      <c r="S49">
        <v>923</v>
      </c>
      <c r="T49">
        <v>920</v>
      </c>
      <c r="U49">
        <v>917</v>
      </c>
      <c r="V49">
        <v>915</v>
      </c>
      <c r="W49">
        <v>912</v>
      </c>
      <c r="X49">
        <v>910</v>
      </c>
      <c r="Y49">
        <v>907</v>
      </c>
      <c r="Z49">
        <v>905</v>
      </c>
      <c r="AA49">
        <v>903</v>
      </c>
      <c r="AB49">
        <v>901</v>
      </c>
      <c r="AC49">
        <v>899</v>
      </c>
      <c r="AD49">
        <v>897</v>
      </c>
      <c r="AE49">
        <v>895</v>
      </c>
      <c r="AF49">
        <v>893</v>
      </c>
      <c r="AG49">
        <v>891</v>
      </c>
      <c r="AH49">
        <v>889</v>
      </c>
      <c r="AI49">
        <v>887</v>
      </c>
      <c r="AJ49">
        <v>885</v>
      </c>
      <c r="AK49">
        <v>884</v>
      </c>
      <c r="AL49">
        <v>882</v>
      </c>
      <c r="AM49">
        <v>880</v>
      </c>
      <c r="AN49">
        <v>879</v>
      </c>
      <c r="AO49">
        <v>877</v>
      </c>
      <c r="AP49">
        <v>876</v>
      </c>
      <c r="AQ49">
        <v>874</v>
      </c>
      <c r="AR49">
        <v>873</v>
      </c>
      <c r="AS49">
        <v>871</v>
      </c>
      <c r="AT49">
        <v>870</v>
      </c>
      <c r="AU49">
        <v>868</v>
      </c>
      <c r="AV49">
        <v>867</v>
      </c>
      <c r="AW49">
        <v>865</v>
      </c>
      <c r="AX49">
        <v>864</v>
      </c>
      <c r="AY49">
        <v>862</v>
      </c>
      <c r="AZ49">
        <v>861</v>
      </c>
      <c r="BA49">
        <v>860</v>
      </c>
      <c r="BB49">
        <v>858</v>
      </c>
      <c r="BC49">
        <v>857</v>
      </c>
      <c r="BD49">
        <v>855</v>
      </c>
      <c r="BE49">
        <v>854</v>
      </c>
      <c r="BF49">
        <v>853</v>
      </c>
      <c r="BG49">
        <v>851</v>
      </c>
      <c r="BH49">
        <v>850</v>
      </c>
      <c r="BI49">
        <v>849</v>
      </c>
      <c r="BJ49">
        <v>847</v>
      </c>
      <c r="BK49">
        <v>846</v>
      </c>
      <c r="BL49">
        <v>845</v>
      </c>
      <c r="BM49">
        <v>844</v>
      </c>
      <c r="BN49">
        <v>842</v>
      </c>
    </row>
    <row r="50" spans="2:66" x14ac:dyDescent="0.35">
      <c r="B50">
        <v>63</v>
      </c>
      <c r="C50">
        <v>954</v>
      </c>
      <c r="D50">
        <v>950</v>
      </c>
      <c r="E50">
        <v>946</v>
      </c>
      <c r="F50">
        <v>942</v>
      </c>
      <c r="G50">
        <v>939</v>
      </c>
      <c r="H50">
        <v>935</v>
      </c>
      <c r="I50">
        <v>932</v>
      </c>
      <c r="J50">
        <v>928</v>
      </c>
      <c r="K50">
        <v>925</v>
      </c>
      <c r="L50">
        <v>922</v>
      </c>
      <c r="M50">
        <v>918</v>
      </c>
      <c r="N50">
        <v>915</v>
      </c>
      <c r="O50">
        <v>912</v>
      </c>
      <c r="P50">
        <v>909</v>
      </c>
      <c r="Q50">
        <v>906</v>
      </c>
      <c r="R50">
        <v>903</v>
      </c>
      <c r="S50">
        <v>901</v>
      </c>
      <c r="T50">
        <v>898</v>
      </c>
      <c r="U50">
        <v>895</v>
      </c>
      <c r="V50">
        <v>893</v>
      </c>
      <c r="W50">
        <v>890</v>
      </c>
      <c r="X50">
        <v>888</v>
      </c>
      <c r="Y50">
        <v>886</v>
      </c>
      <c r="Z50">
        <v>884</v>
      </c>
      <c r="AA50">
        <v>881</v>
      </c>
      <c r="AB50">
        <v>879</v>
      </c>
      <c r="AC50">
        <v>877</v>
      </c>
      <c r="AD50">
        <v>875</v>
      </c>
      <c r="AE50">
        <v>873</v>
      </c>
      <c r="AF50">
        <v>872</v>
      </c>
      <c r="AG50">
        <v>870</v>
      </c>
      <c r="AH50">
        <v>868</v>
      </c>
      <c r="AI50">
        <v>866</v>
      </c>
      <c r="AJ50">
        <v>865</v>
      </c>
      <c r="AK50">
        <v>863</v>
      </c>
      <c r="AL50">
        <v>861</v>
      </c>
      <c r="AM50">
        <v>860</v>
      </c>
      <c r="AN50">
        <v>858</v>
      </c>
      <c r="AO50">
        <v>857</v>
      </c>
      <c r="AP50">
        <v>855</v>
      </c>
      <c r="AQ50">
        <v>854</v>
      </c>
      <c r="AR50">
        <v>852</v>
      </c>
      <c r="AS50">
        <v>851</v>
      </c>
      <c r="AT50">
        <v>849</v>
      </c>
      <c r="AU50">
        <v>848</v>
      </c>
      <c r="AV50">
        <v>847</v>
      </c>
      <c r="AW50">
        <v>845</v>
      </c>
      <c r="AX50">
        <v>844</v>
      </c>
      <c r="AY50">
        <v>842</v>
      </c>
      <c r="AZ50">
        <v>841</v>
      </c>
      <c r="BA50">
        <v>840</v>
      </c>
      <c r="BB50">
        <v>838</v>
      </c>
      <c r="BC50">
        <v>837</v>
      </c>
      <c r="BD50">
        <v>836</v>
      </c>
      <c r="BE50">
        <v>834</v>
      </c>
      <c r="BF50">
        <v>833</v>
      </c>
      <c r="BG50">
        <v>832</v>
      </c>
      <c r="BH50">
        <v>831</v>
      </c>
      <c r="BI50">
        <v>829</v>
      </c>
      <c r="BJ50">
        <v>828</v>
      </c>
      <c r="BK50">
        <v>827</v>
      </c>
      <c r="BL50">
        <v>826</v>
      </c>
      <c r="BM50">
        <v>824</v>
      </c>
      <c r="BN50">
        <v>823</v>
      </c>
    </row>
    <row r="51" spans="2:66" x14ac:dyDescent="0.35">
      <c r="B51">
        <v>64</v>
      </c>
      <c r="C51">
        <v>919</v>
      </c>
      <c r="D51">
        <v>915</v>
      </c>
      <c r="E51">
        <v>912</v>
      </c>
      <c r="F51">
        <v>908</v>
      </c>
      <c r="G51">
        <v>905</v>
      </c>
      <c r="H51">
        <v>902</v>
      </c>
      <c r="I51">
        <v>899</v>
      </c>
      <c r="J51">
        <v>895</v>
      </c>
      <c r="K51">
        <v>892</v>
      </c>
      <c r="L51">
        <v>889</v>
      </c>
      <c r="M51">
        <v>887</v>
      </c>
      <c r="N51">
        <v>884</v>
      </c>
      <c r="O51">
        <v>881</v>
      </c>
      <c r="P51">
        <v>878</v>
      </c>
      <c r="Q51">
        <v>876</v>
      </c>
      <c r="R51">
        <v>873</v>
      </c>
      <c r="S51">
        <v>871</v>
      </c>
      <c r="T51">
        <v>868</v>
      </c>
      <c r="U51">
        <v>866</v>
      </c>
      <c r="V51">
        <v>863</v>
      </c>
      <c r="W51">
        <v>861</v>
      </c>
      <c r="X51">
        <v>859</v>
      </c>
      <c r="Y51">
        <v>857</v>
      </c>
      <c r="Z51">
        <v>855</v>
      </c>
      <c r="AA51">
        <v>853</v>
      </c>
      <c r="AB51">
        <v>851</v>
      </c>
      <c r="AC51">
        <v>849</v>
      </c>
      <c r="AD51">
        <v>847</v>
      </c>
      <c r="AE51">
        <v>846</v>
      </c>
      <c r="AF51">
        <v>844</v>
      </c>
      <c r="AG51">
        <v>842</v>
      </c>
      <c r="AH51">
        <v>841</v>
      </c>
      <c r="AI51">
        <v>839</v>
      </c>
      <c r="AJ51">
        <v>837</v>
      </c>
      <c r="AK51">
        <v>836</v>
      </c>
      <c r="AL51">
        <v>834</v>
      </c>
      <c r="AM51">
        <v>833</v>
      </c>
      <c r="AN51">
        <v>832</v>
      </c>
      <c r="AO51">
        <v>830</v>
      </c>
      <c r="AP51">
        <v>829</v>
      </c>
      <c r="AQ51">
        <v>827</v>
      </c>
      <c r="AR51">
        <v>826</v>
      </c>
      <c r="AS51">
        <v>825</v>
      </c>
      <c r="AT51">
        <v>823</v>
      </c>
      <c r="AU51">
        <v>822</v>
      </c>
      <c r="AV51">
        <v>820</v>
      </c>
      <c r="AW51">
        <v>819</v>
      </c>
      <c r="AX51">
        <v>818</v>
      </c>
      <c r="AY51">
        <v>817</v>
      </c>
      <c r="AZ51">
        <v>815</v>
      </c>
      <c r="BA51">
        <v>814</v>
      </c>
      <c r="BB51">
        <v>813</v>
      </c>
      <c r="BC51">
        <v>811</v>
      </c>
      <c r="BD51">
        <v>810</v>
      </c>
      <c r="BE51">
        <v>809</v>
      </c>
      <c r="BF51">
        <v>808</v>
      </c>
      <c r="BG51">
        <v>807</v>
      </c>
      <c r="BH51">
        <v>805</v>
      </c>
      <c r="BI51">
        <v>804</v>
      </c>
      <c r="BJ51">
        <v>803</v>
      </c>
      <c r="BK51">
        <v>802</v>
      </c>
      <c r="BL51">
        <v>801</v>
      </c>
      <c r="BM51">
        <v>799</v>
      </c>
      <c r="BN51">
        <v>798</v>
      </c>
    </row>
    <row r="52" spans="2:66" x14ac:dyDescent="0.35">
      <c r="B52">
        <v>65</v>
      </c>
      <c r="C52">
        <v>903</v>
      </c>
      <c r="D52">
        <v>900</v>
      </c>
      <c r="E52">
        <v>896</v>
      </c>
      <c r="F52">
        <v>893</v>
      </c>
      <c r="G52">
        <v>889</v>
      </c>
      <c r="H52">
        <v>886</v>
      </c>
      <c r="I52">
        <v>883</v>
      </c>
      <c r="J52">
        <v>880</v>
      </c>
      <c r="K52">
        <v>877</v>
      </c>
      <c r="L52">
        <v>874</v>
      </c>
      <c r="M52">
        <v>871</v>
      </c>
      <c r="N52">
        <v>868</v>
      </c>
      <c r="O52">
        <v>865</v>
      </c>
      <c r="P52">
        <v>862</v>
      </c>
      <c r="Q52">
        <v>860</v>
      </c>
      <c r="R52">
        <v>857</v>
      </c>
      <c r="S52">
        <v>855</v>
      </c>
      <c r="T52">
        <v>852</v>
      </c>
      <c r="U52">
        <v>850</v>
      </c>
      <c r="V52">
        <v>848</v>
      </c>
      <c r="W52">
        <v>846</v>
      </c>
      <c r="X52">
        <v>843</v>
      </c>
      <c r="Y52">
        <v>841</v>
      </c>
      <c r="Z52">
        <v>839</v>
      </c>
      <c r="AA52">
        <v>837</v>
      </c>
      <c r="AB52">
        <v>835</v>
      </c>
      <c r="AC52">
        <v>834</v>
      </c>
      <c r="AD52">
        <v>832</v>
      </c>
      <c r="AE52">
        <v>830</v>
      </c>
      <c r="AF52">
        <v>828</v>
      </c>
      <c r="AG52">
        <v>827</v>
      </c>
      <c r="AH52">
        <v>825</v>
      </c>
      <c r="AI52">
        <v>824</v>
      </c>
      <c r="AJ52">
        <v>822</v>
      </c>
      <c r="AK52">
        <v>820</v>
      </c>
      <c r="AL52">
        <v>819</v>
      </c>
      <c r="AM52">
        <v>818</v>
      </c>
      <c r="AN52">
        <v>816</v>
      </c>
      <c r="AO52">
        <v>815</v>
      </c>
      <c r="AP52">
        <v>813</v>
      </c>
      <c r="AQ52">
        <v>812</v>
      </c>
      <c r="AR52">
        <v>811</v>
      </c>
      <c r="AS52">
        <v>809</v>
      </c>
      <c r="AT52">
        <v>808</v>
      </c>
      <c r="AU52">
        <v>807</v>
      </c>
      <c r="AV52">
        <v>805</v>
      </c>
      <c r="AW52">
        <v>804</v>
      </c>
      <c r="AX52">
        <v>803</v>
      </c>
      <c r="AY52">
        <v>801</v>
      </c>
      <c r="AZ52">
        <v>800</v>
      </c>
      <c r="BA52">
        <v>799</v>
      </c>
      <c r="BB52">
        <v>798</v>
      </c>
      <c r="BC52">
        <v>796</v>
      </c>
      <c r="BD52">
        <v>795</v>
      </c>
      <c r="BE52">
        <v>794</v>
      </c>
      <c r="BF52">
        <v>793</v>
      </c>
      <c r="BG52">
        <v>791</v>
      </c>
      <c r="BH52">
        <v>790</v>
      </c>
      <c r="BI52">
        <v>789</v>
      </c>
      <c r="BJ52">
        <v>788</v>
      </c>
      <c r="BK52">
        <v>787</v>
      </c>
      <c r="BL52">
        <v>786</v>
      </c>
      <c r="BM52">
        <v>784</v>
      </c>
      <c r="BN52">
        <v>783</v>
      </c>
    </row>
    <row r="53" spans="2:66" x14ac:dyDescent="0.35">
      <c r="B53">
        <v>66</v>
      </c>
      <c r="C53">
        <v>869</v>
      </c>
      <c r="D53">
        <v>866</v>
      </c>
      <c r="E53">
        <v>863</v>
      </c>
      <c r="F53">
        <v>860</v>
      </c>
      <c r="G53">
        <v>857</v>
      </c>
      <c r="H53">
        <v>854</v>
      </c>
      <c r="I53">
        <v>851</v>
      </c>
      <c r="J53">
        <v>848</v>
      </c>
      <c r="K53">
        <v>845</v>
      </c>
      <c r="L53">
        <v>842</v>
      </c>
      <c r="M53">
        <v>839</v>
      </c>
      <c r="N53">
        <v>837</v>
      </c>
      <c r="O53">
        <v>834</v>
      </c>
      <c r="P53">
        <v>832</v>
      </c>
      <c r="Q53">
        <v>829</v>
      </c>
      <c r="R53">
        <v>827</v>
      </c>
      <c r="S53">
        <v>824</v>
      </c>
      <c r="T53">
        <v>822</v>
      </c>
      <c r="U53">
        <v>820</v>
      </c>
      <c r="V53">
        <v>818</v>
      </c>
      <c r="W53">
        <v>816</v>
      </c>
      <c r="X53">
        <v>814</v>
      </c>
      <c r="Y53">
        <v>812</v>
      </c>
      <c r="Z53">
        <v>810</v>
      </c>
      <c r="AA53">
        <v>808</v>
      </c>
      <c r="AB53">
        <v>806</v>
      </c>
      <c r="AC53">
        <v>805</v>
      </c>
      <c r="AD53">
        <v>803</v>
      </c>
      <c r="AE53">
        <v>801</v>
      </c>
      <c r="AF53">
        <v>800</v>
      </c>
      <c r="AG53">
        <v>798</v>
      </c>
      <c r="AH53">
        <v>797</v>
      </c>
      <c r="AI53">
        <v>795</v>
      </c>
      <c r="AJ53">
        <v>794</v>
      </c>
      <c r="AK53">
        <v>792</v>
      </c>
      <c r="AL53">
        <v>791</v>
      </c>
      <c r="AM53">
        <v>789</v>
      </c>
      <c r="AN53">
        <v>788</v>
      </c>
      <c r="AO53">
        <v>787</v>
      </c>
      <c r="AP53">
        <v>785</v>
      </c>
      <c r="AQ53">
        <v>784</v>
      </c>
      <c r="AR53">
        <v>783</v>
      </c>
      <c r="AS53">
        <v>781</v>
      </c>
      <c r="AT53">
        <v>780</v>
      </c>
      <c r="AU53">
        <v>779</v>
      </c>
      <c r="AV53">
        <v>778</v>
      </c>
      <c r="AW53">
        <v>776</v>
      </c>
      <c r="AX53">
        <v>775</v>
      </c>
      <c r="AY53">
        <v>774</v>
      </c>
      <c r="AZ53">
        <v>773</v>
      </c>
      <c r="BA53">
        <v>772</v>
      </c>
      <c r="BB53">
        <v>770</v>
      </c>
      <c r="BC53">
        <v>769</v>
      </c>
      <c r="BD53">
        <v>768</v>
      </c>
      <c r="BE53">
        <v>767</v>
      </c>
      <c r="BF53">
        <v>766</v>
      </c>
      <c r="BG53">
        <v>765</v>
      </c>
      <c r="BH53">
        <v>763</v>
      </c>
      <c r="BI53">
        <v>762</v>
      </c>
      <c r="BJ53">
        <v>761</v>
      </c>
      <c r="BK53">
        <v>760</v>
      </c>
      <c r="BL53">
        <v>759</v>
      </c>
      <c r="BM53">
        <v>758</v>
      </c>
      <c r="BN53">
        <v>757</v>
      </c>
    </row>
    <row r="54" spans="2:66" x14ac:dyDescent="0.35">
      <c r="B54">
        <v>67</v>
      </c>
      <c r="C54">
        <v>836</v>
      </c>
      <c r="D54">
        <v>833</v>
      </c>
      <c r="E54">
        <v>830</v>
      </c>
      <c r="F54">
        <v>827</v>
      </c>
      <c r="G54">
        <v>824</v>
      </c>
      <c r="H54">
        <v>821</v>
      </c>
      <c r="I54">
        <v>819</v>
      </c>
      <c r="J54">
        <v>816</v>
      </c>
      <c r="K54">
        <v>813</v>
      </c>
      <c r="L54">
        <v>811</v>
      </c>
      <c r="M54">
        <v>808</v>
      </c>
      <c r="N54">
        <v>806</v>
      </c>
      <c r="O54">
        <v>803</v>
      </c>
      <c r="P54">
        <v>801</v>
      </c>
      <c r="Q54">
        <v>799</v>
      </c>
      <c r="R54">
        <v>796</v>
      </c>
      <c r="S54">
        <v>794</v>
      </c>
      <c r="T54">
        <v>792</v>
      </c>
      <c r="U54">
        <v>790</v>
      </c>
      <c r="V54">
        <v>788</v>
      </c>
      <c r="W54">
        <v>786</v>
      </c>
      <c r="X54">
        <v>784</v>
      </c>
      <c r="Y54">
        <v>782</v>
      </c>
      <c r="Z54">
        <v>781</v>
      </c>
      <c r="AA54">
        <v>779</v>
      </c>
      <c r="AB54">
        <v>777</v>
      </c>
      <c r="AC54">
        <v>776</v>
      </c>
      <c r="AD54">
        <v>774</v>
      </c>
      <c r="AE54">
        <v>773</v>
      </c>
      <c r="AF54">
        <v>771</v>
      </c>
      <c r="AG54">
        <v>770</v>
      </c>
      <c r="AH54">
        <v>768</v>
      </c>
      <c r="AI54">
        <v>767</v>
      </c>
      <c r="AJ54">
        <v>765</v>
      </c>
      <c r="AK54">
        <v>764</v>
      </c>
      <c r="AL54">
        <v>763</v>
      </c>
      <c r="AM54">
        <v>761</v>
      </c>
      <c r="AN54">
        <v>760</v>
      </c>
      <c r="AO54">
        <v>759</v>
      </c>
      <c r="AP54">
        <v>758</v>
      </c>
      <c r="AQ54">
        <v>756</v>
      </c>
      <c r="AR54">
        <v>755</v>
      </c>
      <c r="AS54">
        <v>754</v>
      </c>
      <c r="AT54">
        <v>753</v>
      </c>
      <c r="AU54">
        <v>752</v>
      </c>
      <c r="AV54">
        <v>750</v>
      </c>
      <c r="AW54">
        <v>749</v>
      </c>
      <c r="AX54">
        <v>748</v>
      </c>
      <c r="AY54">
        <v>747</v>
      </c>
      <c r="AZ54">
        <v>746</v>
      </c>
      <c r="BA54">
        <v>745</v>
      </c>
      <c r="BB54">
        <v>744</v>
      </c>
      <c r="BC54">
        <v>742</v>
      </c>
      <c r="BD54">
        <v>741</v>
      </c>
      <c r="BE54">
        <v>740</v>
      </c>
      <c r="BF54">
        <v>739</v>
      </c>
      <c r="BG54">
        <v>738</v>
      </c>
      <c r="BH54">
        <v>737</v>
      </c>
      <c r="BI54">
        <v>736</v>
      </c>
      <c r="BJ54">
        <v>735</v>
      </c>
      <c r="BK54">
        <v>734</v>
      </c>
      <c r="BL54">
        <v>733</v>
      </c>
      <c r="BM54">
        <v>732</v>
      </c>
      <c r="BN54">
        <v>731</v>
      </c>
    </row>
    <row r="55" spans="2:66" x14ac:dyDescent="0.35">
      <c r="B55">
        <v>68</v>
      </c>
      <c r="C55">
        <v>803</v>
      </c>
      <c r="D55">
        <v>800</v>
      </c>
      <c r="E55">
        <v>797</v>
      </c>
      <c r="F55">
        <v>794</v>
      </c>
      <c r="G55">
        <v>792</v>
      </c>
      <c r="H55">
        <v>789</v>
      </c>
      <c r="I55">
        <v>787</v>
      </c>
      <c r="J55">
        <v>784</v>
      </c>
      <c r="K55">
        <v>782</v>
      </c>
      <c r="L55">
        <v>779</v>
      </c>
      <c r="M55">
        <v>777</v>
      </c>
      <c r="N55">
        <v>775</v>
      </c>
      <c r="O55">
        <v>772</v>
      </c>
      <c r="P55">
        <v>770</v>
      </c>
      <c r="Q55">
        <v>768</v>
      </c>
      <c r="R55">
        <v>766</v>
      </c>
      <c r="S55">
        <v>764</v>
      </c>
      <c r="T55">
        <v>762</v>
      </c>
      <c r="U55">
        <v>760</v>
      </c>
      <c r="V55">
        <v>759</v>
      </c>
      <c r="W55">
        <v>757</v>
      </c>
      <c r="X55">
        <v>755</v>
      </c>
      <c r="Y55">
        <v>753</v>
      </c>
      <c r="Z55">
        <v>752</v>
      </c>
      <c r="AA55">
        <v>750</v>
      </c>
      <c r="AB55">
        <v>749</v>
      </c>
      <c r="AC55">
        <v>747</v>
      </c>
      <c r="AD55">
        <v>746</v>
      </c>
      <c r="AE55">
        <v>744</v>
      </c>
      <c r="AF55">
        <v>743</v>
      </c>
      <c r="AG55">
        <v>741</v>
      </c>
      <c r="AH55">
        <v>740</v>
      </c>
      <c r="AI55">
        <v>739</v>
      </c>
      <c r="AJ55">
        <v>737</v>
      </c>
      <c r="AK55">
        <v>736</v>
      </c>
      <c r="AL55">
        <v>735</v>
      </c>
      <c r="AM55">
        <v>734</v>
      </c>
      <c r="AN55">
        <v>733</v>
      </c>
      <c r="AO55">
        <v>731</v>
      </c>
      <c r="AP55">
        <v>730</v>
      </c>
      <c r="AQ55">
        <v>729</v>
      </c>
      <c r="AR55">
        <v>728</v>
      </c>
      <c r="AS55">
        <v>727</v>
      </c>
      <c r="AT55">
        <v>726</v>
      </c>
      <c r="AU55">
        <v>725</v>
      </c>
      <c r="AV55">
        <v>723</v>
      </c>
      <c r="AW55">
        <v>722</v>
      </c>
      <c r="AX55">
        <v>721</v>
      </c>
      <c r="AY55">
        <v>720</v>
      </c>
      <c r="AZ55">
        <v>719</v>
      </c>
      <c r="BA55">
        <v>718</v>
      </c>
      <c r="BB55">
        <v>717</v>
      </c>
      <c r="BC55">
        <v>716</v>
      </c>
      <c r="BD55">
        <v>715</v>
      </c>
      <c r="BE55">
        <v>714</v>
      </c>
      <c r="BF55">
        <v>713</v>
      </c>
      <c r="BG55">
        <v>712</v>
      </c>
      <c r="BH55">
        <v>711</v>
      </c>
      <c r="BI55">
        <v>710</v>
      </c>
      <c r="BJ55">
        <v>709</v>
      </c>
      <c r="BK55">
        <v>708</v>
      </c>
      <c r="BL55">
        <v>707</v>
      </c>
      <c r="BM55">
        <v>706</v>
      </c>
      <c r="BN55">
        <v>705</v>
      </c>
    </row>
    <row r="56" spans="2:66" x14ac:dyDescent="0.35">
      <c r="B56">
        <v>69</v>
      </c>
      <c r="C56">
        <v>769</v>
      </c>
      <c r="D56">
        <v>766</v>
      </c>
      <c r="E56">
        <v>764</v>
      </c>
      <c r="F56">
        <v>761</v>
      </c>
      <c r="G56">
        <v>759</v>
      </c>
      <c r="H56">
        <v>757</v>
      </c>
      <c r="I56">
        <v>754</v>
      </c>
      <c r="J56">
        <v>752</v>
      </c>
      <c r="K56">
        <v>750</v>
      </c>
      <c r="L56">
        <v>748</v>
      </c>
      <c r="M56">
        <v>746</v>
      </c>
      <c r="N56">
        <v>744</v>
      </c>
      <c r="O56">
        <v>741</v>
      </c>
      <c r="P56">
        <v>740</v>
      </c>
      <c r="Q56">
        <v>738</v>
      </c>
      <c r="R56">
        <v>736</v>
      </c>
      <c r="S56">
        <v>734</v>
      </c>
      <c r="T56">
        <v>732</v>
      </c>
      <c r="U56">
        <v>730</v>
      </c>
      <c r="V56">
        <v>729</v>
      </c>
      <c r="W56">
        <v>727</v>
      </c>
      <c r="X56">
        <v>726</v>
      </c>
      <c r="Y56">
        <v>724</v>
      </c>
      <c r="Z56">
        <v>723</v>
      </c>
      <c r="AA56">
        <v>721</v>
      </c>
      <c r="AB56">
        <v>720</v>
      </c>
      <c r="AC56">
        <v>718</v>
      </c>
      <c r="AD56">
        <v>717</v>
      </c>
      <c r="AE56">
        <v>716</v>
      </c>
      <c r="AF56">
        <v>714</v>
      </c>
      <c r="AG56">
        <v>713</v>
      </c>
      <c r="AH56">
        <v>712</v>
      </c>
      <c r="AI56">
        <v>711</v>
      </c>
      <c r="AJ56">
        <v>709</v>
      </c>
      <c r="AK56">
        <v>708</v>
      </c>
      <c r="AL56">
        <v>707</v>
      </c>
      <c r="AM56">
        <v>706</v>
      </c>
      <c r="AN56">
        <v>705</v>
      </c>
      <c r="AO56">
        <v>704</v>
      </c>
      <c r="AP56">
        <v>703</v>
      </c>
      <c r="AQ56">
        <v>702</v>
      </c>
      <c r="AR56">
        <v>701</v>
      </c>
      <c r="AS56">
        <v>699</v>
      </c>
      <c r="AT56">
        <v>698</v>
      </c>
      <c r="AU56">
        <v>697</v>
      </c>
      <c r="AV56">
        <v>696</v>
      </c>
      <c r="AW56">
        <v>695</v>
      </c>
      <c r="AX56">
        <v>694</v>
      </c>
      <c r="AY56">
        <v>693</v>
      </c>
      <c r="AZ56">
        <v>692</v>
      </c>
      <c r="BA56">
        <v>691</v>
      </c>
      <c r="BB56">
        <v>690</v>
      </c>
      <c r="BC56">
        <v>689</v>
      </c>
      <c r="BD56">
        <v>688</v>
      </c>
      <c r="BE56">
        <v>687</v>
      </c>
      <c r="BF56">
        <v>686</v>
      </c>
      <c r="BG56">
        <v>685</v>
      </c>
      <c r="BH56">
        <v>684</v>
      </c>
      <c r="BI56">
        <v>683</v>
      </c>
      <c r="BJ56">
        <v>683</v>
      </c>
      <c r="BK56">
        <v>682</v>
      </c>
      <c r="BL56">
        <v>681</v>
      </c>
      <c r="BM56">
        <v>680</v>
      </c>
      <c r="BN56">
        <v>679</v>
      </c>
    </row>
  </sheetData>
  <sheetProtection algorithmName="SHA-512" hashValue="znQqy0RzEwVBImtnkWzAZINBkhZ73KjO7knMDlkK/QtI3ETs2taPqOxZSiKdhAm4y/4Ru+XL3PF/2rOPUT8z8w==" saltValue="cAMvnR7XMxnT2uRe5FSb2g==" spinCount="100000" sheet="1" objects="1" scenarios="1"/>
  <pageMargins left="0.75" right="0.75" top="1" bottom="1" header="0.5" footer="0.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2:BN59"/>
  <sheetViews>
    <sheetView zoomScale="85" zoomScaleNormal="85" workbookViewId="0">
      <selection activeCell="H59" sqref="H59"/>
    </sheetView>
  </sheetViews>
  <sheetFormatPr defaultRowHeight="14.5" x14ac:dyDescent="0.35"/>
  <cols>
    <col min="2" max="2" width="16.1796875" bestFit="1" customWidth="1"/>
  </cols>
  <sheetData>
    <row r="2" spans="2:66" x14ac:dyDescent="0.35">
      <c r="B2" t="s">
        <v>83</v>
      </c>
      <c r="C2">
        <v>1952</v>
      </c>
      <c r="D2">
        <v>1953</v>
      </c>
      <c r="E2">
        <v>1954</v>
      </c>
      <c r="F2">
        <v>1955</v>
      </c>
      <c r="G2">
        <v>1956</v>
      </c>
      <c r="H2">
        <v>1957</v>
      </c>
      <c r="I2">
        <v>1958</v>
      </c>
      <c r="J2">
        <v>1959</v>
      </c>
      <c r="K2">
        <v>1960</v>
      </c>
      <c r="L2">
        <v>1961</v>
      </c>
      <c r="M2">
        <v>1962</v>
      </c>
      <c r="N2">
        <v>1963</v>
      </c>
      <c r="O2">
        <v>1964</v>
      </c>
      <c r="P2">
        <v>1965</v>
      </c>
      <c r="Q2">
        <v>1966</v>
      </c>
      <c r="R2">
        <v>1967</v>
      </c>
      <c r="S2">
        <v>1968</v>
      </c>
      <c r="T2">
        <v>1969</v>
      </c>
      <c r="U2">
        <v>1970</v>
      </c>
      <c r="V2">
        <v>1971</v>
      </c>
      <c r="W2">
        <v>1972</v>
      </c>
      <c r="X2">
        <v>1973</v>
      </c>
      <c r="Y2">
        <v>1974</v>
      </c>
      <c r="Z2">
        <v>1975</v>
      </c>
      <c r="AA2">
        <v>1976</v>
      </c>
      <c r="AB2">
        <v>1977</v>
      </c>
      <c r="AC2">
        <v>1978</v>
      </c>
      <c r="AD2">
        <v>1979</v>
      </c>
      <c r="AE2">
        <v>1980</v>
      </c>
      <c r="AF2">
        <v>1981</v>
      </c>
      <c r="AG2">
        <v>1982</v>
      </c>
      <c r="AH2">
        <v>1983</v>
      </c>
      <c r="AI2">
        <v>1984</v>
      </c>
      <c r="AJ2">
        <v>1985</v>
      </c>
      <c r="AK2">
        <v>1986</v>
      </c>
      <c r="AL2">
        <v>1987</v>
      </c>
      <c r="AM2">
        <v>1988</v>
      </c>
      <c r="AN2">
        <v>1989</v>
      </c>
      <c r="AO2">
        <v>1990</v>
      </c>
      <c r="AP2">
        <v>1991</v>
      </c>
      <c r="AQ2">
        <v>1992</v>
      </c>
      <c r="AR2">
        <v>1993</v>
      </c>
      <c r="AS2">
        <v>1994</v>
      </c>
      <c r="AT2">
        <v>1995</v>
      </c>
      <c r="AU2">
        <v>1996</v>
      </c>
      <c r="AV2">
        <v>1997</v>
      </c>
      <c r="AW2">
        <v>1998</v>
      </c>
      <c r="AX2">
        <v>1999</v>
      </c>
      <c r="AY2">
        <v>2000</v>
      </c>
      <c r="AZ2">
        <v>2001</v>
      </c>
      <c r="BA2">
        <v>2002</v>
      </c>
      <c r="BB2">
        <v>2003</v>
      </c>
      <c r="BC2">
        <v>2004</v>
      </c>
      <c r="BD2">
        <v>2005</v>
      </c>
      <c r="BE2">
        <v>2006</v>
      </c>
      <c r="BF2">
        <v>2007</v>
      </c>
      <c r="BG2">
        <v>2008</v>
      </c>
      <c r="BH2">
        <v>2009</v>
      </c>
      <c r="BI2">
        <v>2010</v>
      </c>
      <c r="BJ2">
        <v>2011</v>
      </c>
      <c r="BK2">
        <v>2012</v>
      </c>
      <c r="BL2">
        <v>2013</v>
      </c>
      <c r="BM2">
        <v>2014</v>
      </c>
      <c r="BN2">
        <v>2015</v>
      </c>
    </row>
    <row r="3" spans="2:66" x14ac:dyDescent="0.35">
      <c r="B3">
        <v>16</v>
      </c>
      <c r="C3" s="3">
        <v>11711</v>
      </c>
      <c r="D3" s="3">
        <v>11667</v>
      </c>
      <c r="E3" s="3">
        <v>11623</v>
      </c>
      <c r="F3" s="3">
        <v>11578</v>
      </c>
      <c r="G3" s="3">
        <v>11534</v>
      </c>
      <c r="H3" s="3">
        <v>11489</v>
      </c>
      <c r="I3" s="3">
        <v>11445</v>
      </c>
      <c r="J3" s="3">
        <v>11401</v>
      </c>
      <c r="K3" s="3">
        <v>11357</v>
      </c>
      <c r="L3" s="3">
        <v>11313</v>
      </c>
      <c r="M3" s="3">
        <v>11270</v>
      </c>
      <c r="N3" s="3">
        <v>11227</v>
      </c>
      <c r="O3" s="3">
        <v>11184</v>
      </c>
      <c r="P3" s="3">
        <v>11142</v>
      </c>
      <c r="Q3" s="3">
        <v>11100</v>
      </c>
      <c r="R3" s="3">
        <v>11059</v>
      </c>
      <c r="S3" s="3">
        <v>11018</v>
      </c>
      <c r="T3" s="3">
        <v>10978</v>
      </c>
      <c r="U3" s="3">
        <v>10939</v>
      </c>
      <c r="V3" s="3">
        <v>10900</v>
      </c>
      <c r="W3" s="3">
        <v>10862</v>
      </c>
      <c r="X3" s="3">
        <v>10825</v>
      </c>
      <c r="Y3" s="3">
        <v>10788</v>
      </c>
      <c r="Z3" s="3">
        <v>10752</v>
      </c>
      <c r="AA3" s="3">
        <v>10717</v>
      </c>
      <c r="AB3" s="3">
        <v>10682</v>
      </c>
      <c r="AC3" s="3">
        <v>10648</v>
      </c>
      <c r="AD3" s="3">
        <v>10615</v>
      </c>
      <c r="AE3" s="3">
        <v>10582</v>
      </c>
      <c r="AF3" s="3">
        <v>10550</v>
      </c>
      <c r="AG3" s="3">
        <v>10519</v>
      </c>
      <c r="AH3" s="3">
        <v>10488</v>
      </c>
      <c r="AI3" s="3">
        <v>10457</v>
      </c>
      <c r="AJ3" s="3">
        <v>10427</v>
      </c>
      <c r="AK3" s="3">
        <v>10398</v>
      </c>
      <c r="AL3" s="3">
        <v>10369</v>
      </c>
      <c r="AM3" s="3">
        <v>10341</v>
      </c>
      <c r="AN3" s="3">
        <v>10313</v>
      </c>
      <c r="AO3" s="3">
        <v>10285</v>
      </c>
      <c r="AP3" s="3">
        <v>10258</v>
      </c>
      <c r="AQ3" s="3">
        <v>10231</v>
      </c>
      <c r="AR3" s="3">
        <v>10204</v>
      </c>
      <c r="AS3" s="3">
        <v>10178</v>
      </c>
      <c r="AT3" s="3">
        <v>10152</v>
      </c>
      <c r="AU3" s="3">
        <v>10126</v>
      </c>
      <c r="AV3" s="3">
        <v>10100</v>
      </c>
      <c r="AW3" s="3">
        <v>10075</v>
      </c>
      <c r="AX3" s="3">
        <v>10050</v>
      </c>
      <c r="AY3" s="3">
        <v>10025</v>
      </c>
      <c r="AZ3" s="3">
        <v>10000</v>
      </c>
      <c r="BA3" s="3">
        <v>9976</v>
      </c>
      <c r="BB3" s="3">
        <v>9952</v>
      </c>
      <c r="BC3" s="3">
        <v>9928</v>
      </c>
      <c r="BD3" s="3">
        <v>9904</v>
      </c>
      <c r="BE3" s="3">
        <v>9881</v>
      </c>
      <c r="BF3" s="3">
        <v>9857</v>
      </c>
      <c r="BG3" s="3">
        <v>9834</v>
      </c>
      <c r="BH3" s="3">
        <v>9811</v>
      </c>
      <c r="BI3" s="3">
        <v>9789</v>
      </c>
      <c r="BJ3" s="3">
        <v>9766</v>
      </c>
      <c r="BK3" s="3">
        <v>9744</v>
      </c>
      <c r="BL3" s="3">
        <v>9722</v>
      </c>
      <c r="BM3" s="3">
        <v>9700</v>
      </c>
      <c r="BN3" s="3">
        <v>9678</v>
      </c>
    </row>
    <row r="4" spans="2:66" x14ac:dyDescent="0.35">
      <c r="B4">
        <v>17</v>
      </c>
      <c r="C4" s="3">
        <v>10774</v>
      </c>
      <c r="D4" s="3">
        <v>10735</v>
      </c>
      <c r="E4" s="3">
        <v>10696</v>
      </c>
      <c r="F4" s="3">
        <v>10657</v>
      </c>
      <c r="G4" s="3">
        <v>10617</v>
      </c>
      <c r="H4" s="3">
        <v>10578</v>
      </c>
      <c r="I4" s="3">
        <v>10539</v>
      </c>
      <c r="J4" s="3">
        <v>10500</v>
      </c>
      <c r="K4" s="3">
        <v>10461</v>
      </c>
      <c r="L4" s="3">
        <v>10422</v>
      </c>
      <c r="M4" s="3">
        <v>10383</v>
      </c>
      <c r="N4" s="3">
        <v>10345</v>
      </c>
      <c r="O4" s="3">
        <v>10307</v>
      </c>
      <c r="P4" s="3">
        <v>10270</v>
      </c>
      <c r="Q4" s="3">
        <v>10233</v>
      </c>
      <c r="R4" s="3">
        <v>10196</v>
      </c>
      <c r="S4" s="3">
        <v>10160</v>
      </c>
      <c r="T4" s="3">
        <v>10124</v>
      </c>
      <c r="U4" s="3">
        <v>10089</v>
      </c>
      <c r="V4" s="3">
        <v>10055</v>
      </c>
      <c r="W4" s="3">
        <v>10021</v>
      </c>
      <c r="X4" s="3">
        <v>9988</v>
      </c>
      <c r="Y4" s="3">
        <v>9955</v>
      </c>
      <c r="Z4" s="3">
        <v>9923</v>
      </c>
      <c r="AA4" s="3">
        <v>9891</v>
      </c>
      <c r="AB4" s="3">
        <v>9860</v>
      </c>
      <c r="AC4" s="3">
        <v>9830</v>
      </c>
      <c r="AD4" s="3">
        <v>9800</v>
      </c>
      <c r="AE4" s="3">
        <v>9771</v>
      </c>
      <c r="AF4" s="3">
        <v>9742</v>
      </c>
      <c r="AG4" s="3">
        <v>9714</v>
      </c>
      <c r="AH4" s="3">
        <v>9686</v>
      </c>
      <c r="AI4" s="3">
        <v>9659</v>
      </c>
      <c r="AJ4" s="3">
        <v>9632</v>
      </c>
      <c r="AK4" s="3">
        <v>9606</v>
      </c>
      <c r="AL4" s="3">
        <v>9580</v>
      </c>
      <c r="AM4" s="3">
        <v>9555</v>
      </c>
      <c r="AN4" s="3">
        <v>9529</v>
      </c>
      <c r="AO4" s="3">
        <v>9505</v>
      </c>
      <c r="AP4" s="3">
        <v>9480</v>
      </c>
      <c r="AQ4" s="3">
        <v>9456</v>
      </c>
      <c r="AR4" s="3">
        <v>9432</v>
      </c>
      <c r="AS4" s="3">
        <v>9408</v>
      </c>
      <c r="AT4" s="3">
        <v>9384</v>
      </c>
      <c r="AU4" s="3">
        <v>9361</v>
      </c>
      <c r="AV4" s="3">
        <v>9338</v>
      </c>
      <c r="AW4" s="3">
        <v>9315</v>
      </c>
      <c r="AX4" s="3">
        <v>9292</v>
      </c>
      <c r="AY4" s="3">
        <v>9270</v>
      </c>
      <c r="AZ4" s="3">
        <v>9248</v>
      </c>
      <c r="BA4" s="3">
        <v>9226</v>
      </c>
      <c r="BB4" s="3">
        <v>9204</v>
      </c>
      <c r="BC4" s="3">
        <v>9183</v>
      </c>
      <c r="BD4" s="3">
        <v>9161</v>
      </c>
      <c r="BE4" s="3">
        <v>9140</v>
      </c>
      <c r="BF4" s="3">
        <v>9119</v>
      </c>
      <c r="BG4" s="3">
        <v>9098</v>
      </c>
      <c r="BH4" s="3">
        <v>9077</v>
      </c>
      <c r="BI4" s="3">
        <v>9057</v>
      </c>
      <c r="BJ4" s="3">
        <v>9037</v>
      </c>
      <c r="BK4" s="3">
        <v>9016</v>
      </c>
      <c r="BL4" s="3">
        <v>8996</v>
      </c>
      <c r="BM4" s="3">
        <v>8977</v>
      </c>
      <c r="BN4" s="3">
        <v>8957</v>
      </c>
    </row>
    <row r="5" spans="2:66" x14ac:dyDescent="0.35">
      <c r="B5">
        <v>18</v>
      </c>
      <c r="C5" s="3">
        <v>9954</v>
      </c>
      <c r="D5" s="3">
        <v>9919</v>
      </c>
      <c r="E5" s="3">
        <v>9884</v>
      </c>
      <c r="F5" s="3">
        <v>9849</v>
      </c>
      <c r="G5" s="3">
        <v>9815</v>
      </c>
      <c r="H5" s="3">
        <v>9780</v>
      </c>
      <c r="I5" s="3">
        <v>9745</v>
      </c>
      <c r="J5" s="3">
        <v>9710</v>
      </c>
      <c r="K5" s="3">
        <v>9675</v>
      </c>
      <c r="L5" s="3">
        <v>9640</v>
      </c>
      <c r="M5" s="3">
        <v>9606</v>
      </c>
      <c r="N5" s="3">
        <v>9572</v>
      </c>
      <c r="O5" s="3">
        <v>9538</v>
      </c>
      <c r="P5" s="3">
        <v>9505</v>
      </c>
      <c r="Q5" s="3">
        <v>9472</v>
      </c>
      <c r="R5" s="3">
        <v>9439</v>
      </c>
      <c r="S5" s="3">
        <v>9407</v>
      </c>
      <c r="T5" s="3">
        <v>9375</v>
      </c>
      <c r="U5" s="3">
        <v>9343</v>
      </c>
      <c r="V5" s="3">
        <v>9312</v>
      </c>
      <c r="W5" s="3">
        <v>9282</v>
      </c>
      <c r="X5" s="3">
        <v>9252</v>
      </c>
      <c r="Y5" s="3">
        <v>9223</v>
      </c>
      <c r="Z5" s="3">
        <v>9194</v>
      </c>
      <c r="AA5" s="3">
        <v>9166</v>
      </c>
      <c r="AB5" s="3">
        <v>9138</v>
      </c>
      <c r="AC5" s="3">
        <v>9111</v>
      </c>
      <c r="AD5" s="3">
        <v>9084</v>
      </c>
      <c r="AE5" s="3">
        <v>9058</v>
      </c>
      <c r="AF5" s="3">
        <v>9032</v>
      </c>
      <c r="AG5" s="3">
        <v>9006</v>
      </c>
      <c r="AH5" s="3">
        <v>8981</v>
      </c>
      <c r="AI5" s="3">
        <v>8957</v>
      </c>
      <c r="AJ5" s="3">
        <v>8933</v>
      </c>
      <c r="AK5" s="3">
        <v>8909</v>
      </c>
      <c r="AL5" s="3">
        <v>8886</v>
      </c>
      <c r="AM5" s="3">
        <v>8863</v>
      </c>
      <c r="AN5" s="3">
        <v>8840</v>
      </c>
      <c r="AO5" s="3">
        <v>8817</v>
      </c>
      <c r="AP5" s="3">
        <v>8795</v>
      </c>
      <c r="AQ5" s="3">
        <v>8773</v>
      </c>
      <c r="AR5" s="3">
        <v>8751</v>
      </c>
      <c r="AS5" s="3">
        <v>8730</v>
      </c>
      <c r="AT5" s="3">
        <v>8708</v>
      </c>
      <c r="AU5" s="3">
        <v>8687</v>
      </c>
      <c r="AV5" s="3">
        <v>8666</v>
      </c>
      <c r="AW5" s="3">
        <v>8645</v>
      </c>
      <c r="AX5" s="3">
        <v>8625</v>
      </c>
      <c r="AY5" s="3">
        <v>8605</v>
      </c>
      <c r="AZ5" s="3">
        <v>8585</v>
      </c>
      <c r="BA5" s="3">
        <v>8565</v>
      </c>
      <c r="BB5" s="3">
        <v>8545</v>
      </c>
      <c r="BC5" s="3">
        <v>8525</v>
      </c>
      <c r="BD5" s="3">
        <v>8506</v>
      </c>
      <c r="BE5" s="3">
        <v>8487</v>
      </c>
      <c r="BF5" s="3">
        <v>8468</v>
      </c>
      <c r="BG5" s="3">
        <v>8449</v>
      </c>
      <c r="BH5" s="3">
        <v>8430</v>
      </c>
      <c r="BI5" s="3">
        <v>8412</v>
      </c>
      <c r="BJ5" s="3">
        <v>8393</v>
      </c>
      <c r="BK5" s="3">
        <v>8375</v>
      </c>
      <c r="BL5" s="3">
        <v>8357</v>
      </c>
      <c r="BM5" s="3">
        <v>8339</v>
      </c>
      <c r="BN5" s="3">
        <v>8321</v>
      </c>
    </row>
    <row r="6" spans="2:66" x14ac:dyDescent="0.35">
      <c r="B6">
        <v>19</v>
      </c>
      <c r="C6" s="3">
        <v>9232</v>
      </c>
      <c r="D6" s="3">
        <v>9201</v>
      </c>
      <c r="E6" s="3">
        <v>9170</v>
      </c>
      <c r="F6" s="3">
        <v>9139</v>
      </c>
      <c r="G6" s="3">
        <v>9108</v>
      </c>
      <c r="H6" s="3">
        <v>9076</v>
      </c>
      <c r="I6" s="3">
        <v>9045</v>
      </c>
      <c r="J6" s="3">
        <v>9014</v>
      </c>
      <c r="K6" s="3">
        <v>8983</v>
      </c>
      <c r="L6" s="3">
        <v>8952</v>
      </c>
      <c r="M6" s="3">
        <v>8921</v>
      </c>
      <c r="N6" s="3">
        <v>8890</v>
      </c>
      <c r="O6" s="3">
        <v>8860</v>
      </c>
      <c r="P6" s="3">
        <v>8830</v>
      </c>
      <c r="Q6" s="3">
        <v>8800</v>
      </c>
      <c r="R6" s="3">
        <v>8771</v>
      </c>
      <c r="S6" s="3">
        <v>8742</v>
      </c>
      <c r="T6" s="3">
        <v>8713</v>
      </c>
      <c r="U6" s="3">
        <v>8685</v>
      </c>
      <c r="V6" s="3">
        <v>8657</v>
      </c>
      <c r="W6" s="3">
        <v>8630</v>
      </c>
      <c r="X6" s="3">
        <v>8603</v>
      </c>
      <c r="Y6" s="3">
        <v>8576</v>
      </c>
      <c r="Z6" s="3">
        <v>8550</v>
      </c>
      <c r="AA6" s="3">
        <v>8525</v>
      </c>
      <c r="AB6" s="3">
        <v>8499</v>
      </c>
      <c r="AC6" s="3">
        <v>8475</v>
      </c>
      <c r="AD6" s="3">
        <v>8451</v>
      </c>
      <c r="AE6" s="3">
        <v>8427</v>
      </c>
      <c r="AF6" s="3">
        <v>8404</v>
      </c>
      <c r="AG6" s="3">
        <v>8381</v>
      </c>
      <c r="AH6" s="3">
        <v>8358</v>
      </c>
      <c r="AI6" s="3">
        <v>8336</v>
      </c>
      <c r="AJ6" s="3">
        <v>8314</v>
      </c>
      <c r="AK6" s="3">
        <v>8292</v>
      </c>
      <c r="AL6" s="3">
        <v>8271</v>
      </c>
      <c r="AM6" s="3">
        <v>8250</v>
      </c>
      <c r="AN6" s="3">
        <v>8229</v>
      </c>
      <c r="AO6" s="3">
        <v>8209</v>
      </c>
      <c r="AP6" s="3">
        <v>8189</v>
      </c>
      <c r="AQ6" s="3">
        <v>8169</v>
      </c>
      <c r="AR6" s="3">
        <v>8149</v>
      </c>
      <c r="AS6" s="3">
        <v>8129</v>
      </c>
      <c r="AT6" s="3">
        <v>8110</v>
      </c>
      <c r="AU6" s="3">
        <v>8090</v>
      </c>
      <c r="AV6" s="3">
        <v>8071</v>
      </c>
      <c r="AW6" s="3">
        <v>8052</v>
      </c>
      <c r="AX6" s="3">
        <v>8034</v>
      </c>
      <c r="AY6" s="3">
        <v>8015</v>
      </c>
      <c r="AZ6" s="3">
        <v>7997</v>
      </c>
      <c r="BA6" s="3">
        <v>7979</v>
      </c>
      <c r="BB6" s="3">
        <v>7961</v>
      </c>
      <c r="BC6" s="3">
        <v>7943</v>
      </c>
      <c r="BD6" s="3">
        <v>7926</v>
      </c>
      <c r="BE6" s="3">
        <v>7908</v>
      </c>
      <c r="BF6" s="3">
        <v>7891</v>
      </c>
      <c r="BG6" s="3">
        <v>7874</v>
      </c>
      <c r="BH6" s="3">
        <v>7857</v>
      </c>
      <c r="BI6" s="3">
        <v>7840</v>
      </c>
      <c r="BJ6" s="3">
        <v>7823</v>
      </c>
      <c r="BK6" s="3">
        <v>7806</v>
      </c>
      <c r="BL6" s="3">
        <v>7790</v>
      </c>
      <c r="BM6" s="3">
        <v>7774</v>
      </c>
      <c r="BN6" s="3">
        <v>7757</v>
      </c>
    </row>
    <row r="7" spans="2:66" x14ac:dyDescent="0.35">
      <c r="B7">
        <v>20</v>
      </c>
      <c r="C7" s="3">
        <v>8593</v>
      </c>
      <c r="D7" s="3">
        <v>8565</v>
      </c>
      <c r="E7" s="3">
        <v>8537</v>
      </c>
      <c r="F7" s="3">
        <v>8509</v>
      </c>
      <c r="G7" s="3">
        <v>8481</v>
      </c>
      <c r="H7" s="3">
        <v>8453</v>
      </c>
      <c r="I7" s="3">
        <v>8425</v>
      </c>
      <c r="J7" s="3">
        <v>8397</v>
      </c>
      <c r="K7" s="3">
        <v>8369</v>
      </c>
      <c r="L7" s="3">
        <v>8341</v>
      </c>
      <c r="M7" s="3">
        <v>8313</v>
      </c>
      <c r="N7" s="3">
        <v>8286</v>
      </c>
      <c r="O7" s="3">
        <v>8258</v>
      </c>
      <c r="P7" s="3">
        <v>8231</v>
      </c>
      <c r="Q7" s="3">
        <v>8205</v>
      </c>
      <c r="R7" s="3">
        <v>8178</v>
      </c>
      <c r="S7" s="3">
        <v>8152</v>
      </c>
      <c r="T7" s="3">
        <v>8126</v>
      </c>
      <c r="U7" s="3">
        <v>8100</v>
      </c>
      <c r="V7" s="3">
        <v>8075</v>
      </c>
      <c r="W7" s="3">
        <v>8050</v>
      </c>
      <c r="X7" s="3">
        <v>8026</v>
      </c>
      <c r="Y7" s="3">
        <v>8002</v>
      </c>
      <c r="Z7" s="3">
        <v>7978</v>
      </c>
      <c r="AA7" s="3">
        <v>7955</v>
      </c>
      <c r="AB7" s="3">
        <v>7932</v>
      </c>
      <c r="AC7" s="3">
        <v>7910</v>
      </c>
      <c r="AD7" s="3">
        <v>7888</v>
      </c>
      <c r="AE7" s="3">
        <v>7866</v>
      </c>
      <c r="AF7" s="3">
        <v>7845</v>
      </c>
      <c r="AG7" s="3">
        <v>7824</v>
      </c>
      <c r="AH7" s="3">
        <v>7804</v>
      </c>
      <c r="AI7" s="3">
        <v>7783</v>
      </c>
      <c r="AJ7" s="3">
        <v>7763</v>
      </c>
      <c r="AK7" s="3">
        <v>7744</v>
      </c>
      <c r="AL7" s="3">
        <v>7724</v>
      </c>
      <c r="AM7" s="3">
        <v>7705</v>
      </c>
      <c r="AN7" s="3">
        <v>7686</v>
      </c>
      <c r="AO7" s="3">
        <v>7667</v>
      </c>
      <c r="AP7" s="3">
        <v>7649</v>
      </c>
      <c r="AQ7" s="3">
        <v>7631</v>
      </c>
      <c r="AR7" s="3">
        <v>7612</v>
      </c>
      <c r="AS7" s="3">
        <v>7594</v>
      </c>
      <c r="AT7" s="3">
        <v>7577</v>
      </c>
      <c r="AU7" s="3">
        <v>7559</v>
      </c>
      <c r="AV7" s="3">
        <v>7541</v>
      </c>
      <c r="AW7" s="3">
        <v>7524</v>
      </c>
      <c r="AX7" s="3">
        <v>7507</v>
      </c>
      <c r="AY7" s="3">
        <v>7491</v>
      </c>
      <c r="AZ7" s="3">
        <v>7474</v>
      </c>
      <c r="BA7" s="3">
        <v>7457</v>
      </c>
      <c r="BB7" s="3">
        <v>7441</v>
      </c>
      <c r="BC7" s="3">
        <v>7425</v>
      </c>
      <c r="BD7" s="3">
        <v>7409</v>
      </c>
      <c r="BE7" s="3">
        <v>7393</v>
      </c>
      <c r="BF7" s="3">
        <v>7377</v>
      </c>
      <c r="BG7" s="3">
        <v>7362</v>
      </c>
      <c r="BH7" s="3">
        <v>7346</v>
      </c>
      <c r="BI7" s="3">
        <v>7331</v>
      </c>
      <c r="BJ7" s="3">
        <v>7315</v>
      </c>
      <c r="BK7" s="3">
        <v>7300</v>
      </c>
      <c r="BL7" s="3">
        <v>7285</v>
      </c>
      <c r="BM7" s="3">
        <v>7270</v>
      </c>
      <c r="BN7" s="3">
        <v>7255</v>
      </c>
    </row>
    <row r="8" spans="2:66" x14ac:dyDescent="0.35">
      <c r="B8">
        <v>21</v>
      </c>
      <c r="C8" s="3">
        <v>8022</v>
      </c>
      <c r="D8" s="3">
        <v>7997</v>
      </c>
      <c r="E8" s="3">
        <v>7972</v>
      </c>
      <c r="F8" s="3">
        <v>7947</v>
      </c>
      <c r="G8" s="3">
        <v>7922</v>
      </c>
      <c r="H8" s="3">
        <v>7897</v>
      </c>
      <c r="I8" s="3">
        <v>7871</v>
      </c>
      <c r="J8" s="3">
        <v>7846</v>
      </c>
      <c r="K8" s="3">
        <v>7821</v>
      </c>
      <c r="L8" s="3">
        <v>7796</v>
      </c>
      <c r="M8" s="3">
        <v>7770</v>
      </c>
      <c r="N8" s="3">
        <v>7746</v>
      </c>
      <c r="O8" s="3">
        <v>7721</v>
      </c>
      <c r="P8" s="3">
        <v>7696</v>
      </c>
      <c r="Q8" s="3">
        <v>7672</v>
      </c>
      <c r="R8" s="3">
        <v>7648</v>
      </c>
      <c r="S8" s="3">
        <v>7624</v>
      </c>
      <c r="T8" s="3">
        <v>7600</v>
      </c>
      <c r="U8" s="3">
        <v>7577</v>
      </c>
      <c r="V8" s="3">
        <v>7554</v>
      </c>
      <c r="W8" s="3">
        <v>7532</v>
      </c>
      <c r="X8" s="3">
        <v>7510</v>
      </c>
      <c r="Y8" s="3">
        <v>7488</v>
      </c>
      <c r="Z8" s="3">
        <v>7466</v>
      </c>
      <c r="AA8" s="3">
        <v>7445</v>
      </c>
      <c r="AB8" s="3">
        <v>7424</v>
      </c>
      <c r="AC8" s="3">
        <v>7404</v>
      </c>
      <c r="AD8" s="3">
        <v>7384</v>
      </c>
      <c r="AE8" s="3">
        <v>7364</v>
      </c>
      <c r="AF8" s="3">
        <v>7345</v>
      </c>
      <c r="AG8" s="3">
        <v>7325</v>
      </c>
      <c r="AH8" s="3">
        <v>7307</v>
      </c>
      <c r="AI8" s="3">
        <v>7288</v>
      </c>
      <c r="AJ8" s="3">
        <v>7270</v>
      </c>
      <c r="AK8" s="3">
        <v>7252</v>
      </c>
      <c r="AL8" s="3">
        <v>7234</v>
      </c>
      <c r="AM8" s="3">
        <v>7216</v>
      </c>
      <c r="AN8" s="3">
        <v>7199</v>
      </c>
      <c r="AO8" s="3">
        <v>7182</v>
      </c>
      <c r="AP8" s="3">
        <v>7165</v>
      </c>
      <c r="AQ8" s="3">
        <v>7148</v>
      </c>
      <c r="AR8" s="3">
        <v>7131</v>
      </c>
      <c r="AS8" s="3">
        <v>7115</v>
      </c>
      <c r="AT8" s="3">
        <v>7098</v>
      </c>
      <c r="AU8" s="3">
        <v>7082</v>
      </c>
      <c r="AV8" s="3">
        <v>7066</v>
      </c>
      <c r="AW8" s="3">
        <v>7051</v>
      </c>
      <c r="AX8" s="3">
        <v>7035</v>
      </c>
      <c r="AY8" s="3">
        <v>7020</v>
      </c>
      <c r="AZ8" s="3">
        <v>7005</v>
      </c>
      <c r="BA8" s="3">
        <v>6990</v>
      </c>
      <c r="BB8" s="3">
        <v>6975</v>
      </c>
      <c r="BC8" s="3">
        <v>6960</v>
      </c>
      <c r="BD8" s="3">
        <v>6946</v>
      </c>
      <c r="BE8" s="3">
        <v>6931</v>
      </c>
      <c r="BF8" s="3">
        <v>6917</v>
      </c>
      <c r="BG8" s="3">
        <v>6902</v>
      </c>
      <c r="BH8" s="3">
        <v>6888</v>
      </c>
      <c r="BI8" s="3">
        <v>6874</v>
      </c>
      <c r="BJ8" s="3">
        <v>6860</v>
      </c>
      <c r="BK8" s="3">
        <v>6846</v>
      </c>
      <c r="BL8" s="3">
        <v>6833</v>
      </c>
      <c r="BM8" s="3">
        <v>6819</v>
      </c>
      <c r="BN8" s="3">
        <v>6805</v>
      </c>
    </row>
    <row r="9" spans="2:66" x14ac:dyDescent="0.35">
      <c r="B9">
        <v>22</v>
      </c>
      <c r="C9" s="3">
        <v>7509</v>
      </c>
      <c r="D9" s="3">
        <v>7486</v>
      </c>
      <c r="E9" s="3">
        <v>7464</v>
      </c>
      <c r="F9" s="3">
        <v>7441</v>
      </c>
      <c r="G9" s="3">
        <v>7418</v>
      </c>
      <c r="H9" s="3">
        <v>7395</v>
      </c>
      <c r="I9" s="3">
        <v>7372</v>
      </c>
      <c r="J9" s="3">
        <v>7349</v>
      </c>
      <c r="K9" s="3">
        <v>7327</v>
      </c>
      <c r="L9" s="3">
        <v>7304</v>
      </c>
      <c r="M9" s="3">
        <v>7281</v>
      </c>
      <c r="N9" s="3">
        <v>7258</v>
      </c>
      <c r="O9" s="3">
        <v>7236</v>
      </c>
      <c r="P9" s="3">
        <v>7214</v>
      </c>
      <c r="Q9" s="3">
        <v>7191</v>
      </c>
      <c r="R9" s="3">
        <v>7170</v>
      </c>
      <c r="S9" s="3">
        <v>7148</v>
      </c>
      <c r="T9" s="3">
        <v>7126</v>
      </c>
      <c r="U9" s="3">
        <v>7105</v>
      </c>
      <c r="V9" s="3">
        <v>7084</v>
      </c>
      <c r="W9" s="3">
        <v>7064</v>
      </c>
      <c r="X9" s="3">
        <v>7043</v>
      </c>
      <c r="Y9" s="3">
        <v>7024</v>
      </c>
      <c r="Z9" s="3">
        <v>7004</v>
      </c>
      <c r="AA9" s="3">
        <v>6985</v>
      </c>
      <c r="AB9" s="3">
        <v>6965</v>
      </c>
      <c r="AC9" s="3">
        <v>6947</v>
      </c>
      <c r="AD9" s="3">
        <v>6928</v>
      </c>
      <c r="AE9" s="3">
        <v>6910</v>
      </c>
      <c r="AF9" s="3">
        <v>6892</v>
      </c>
      <c r="AG9" s="3">
        <v>6875</v>
      </c>
      <c r="AH9" s="3">
        <v>6858</v>
      </c>
      <c r="AI9" s="3">
        <v>6841</v>
      </c>
      <c r="AJ9" s="3">
        <v>6824</v>
      </c>
      <c r="AK9" s="3">
        <v>6807</v>
      </c>
      <c r="AL9" s="3">
        <v>6791</v>
      </c>
      <c r="AM9" s="3">
        <v>6775</v>
      </c>
      <c r="AN9" s="3">
        <v>6759</v>
      </c>
      <c r="AO9" s="3">
        <v>6743</v>
      </c>
      <c r="AP9" s="3">
        <v>6727</v>
      </c>
      <c r="AQ9" s="3">
        <v>6711</v>
      </c>
      <c r="AR9" s="3">
        <v>6696</v>
      </c>
      <c r="AS9" s="3">
        <v>6681</v>
      </c>
      <c r="AT9" s="3">
        <v>6666</v>
      </c>
      <c r="AU9" s="3">
        <v>6651</v>
      </c>
      <c r="AV9" s="3">
        <v>6637</v>
      </c>
      <c r="AW9" s="3">
        <v>6623</v>
      </c>
      <c r="AX9" s="3">
        <v>6609</v>
      </c>
      <c r="AY9" s="3">
        <v>6595</v>
      </c>
      <c r="AZ9" s="3">
        <v>6581</v>
      </c>
      <c r="BA9" s="3">
        <v>6567</v>
      </c>
      <c r="BB9" s="3">
        <v>6554</v>
      </c>
      <c r="BC9" s="3">
        <v>6540</v>
      </c>
      <c r="BD9" s="3">
        <v>6527</v>
      </c>
      <c r="BE9" s="3">
        <v>6514</v>
      </c>
      <c r="BF9" s="3">
        <v>6501</v>
      </c>
      <c r="BG9" s="3">
        <v>6488</v>
      </c>
      <c r="BH9" s="3">
        <v>6475</v>
      </c>
      <c r="BI9" s="3">
        <v>6462</v>
      </c>
      <c r="BJ9" s="3">
        <v>6449</v>
      </c>
      <c r="BK9" s="3">
        <v>6437</v>
      </c>
      <c r="BL9" s="3">
        <v>6424</v>
      </c>
      <c r="BM9" s="3">
        <v>6412</v>
      </c>
      <c r="BN9" s="3">
        <v>6399</v>
      </c>
    </row>
    <row r="10" spans="2:66" x14ac:dyDescent="0.35">
      <c r="B10">
        <v>23</v>
      </c>
      <c r="C10" s="3">
        <v>7044</v>
      </c>
      <c r="D10" s="3">
        <v>7024</v>
      </c>
      <c r="E10" s="3">
        <v>7004</v>
      </c>
      <c r="F10" s="3">
        <v>6983</v>
      </c>
      <c r="G10" s="3">
        <v>6963</v>
      </c>
      <c r="H10" s="3">
        <v>6942</v>
      </c>
      <c r="I10" s="3">
        <v>6921</v>
      </c>
      <c r="J10" s="3">
        <v>6900</v>
      </c>
      <c r="K10" s="3">
        <v>6880</v>
      </c>
      <c r="L10" s="3">
        <v>6859</v>
      </c>
      <c r="M10" s="3">
        <v>6838</v>
      </c>
      <c r="N10" s="3">
        <v>6818</v>
      </c>
      <c r="O10" s="3">
        <v>6797</v>
      </c>
      <c r="P10" s="3">
        <v>6777</v>
      </c>
      <c r="Q10" s="3">
        <v>6757</v>
      </c>
      <c r="R10" s="3">
        <v>6737</v>
      </c>
      <c r="S10" s="3">
        <v>6717</v>
      </c>
      <c r="T10" s="3">
        <v>6697</v>
      </c>
      <c r="U10" s="3">
        <v>6678</v>
      </c>
      <c r="V10" s="3">
        <v>6659</v>
      </c>
      <c r="W10" s="3">
        <v>6640</v>
      </c>
      <c r="X10" s="3">
        <v>6621</v>
      </c>
      <c r="Y10" s="3">
        <v>6603</v>
      </c>
      <c r="Z10" s="3">
        <v>6585</v>
      </c>
      <c r="AA10" s="3">
        <v>6567</v>
      </c>
      <c r="AB10" s="3">
        <v>6550</v>
      </c>
      <c r="AC10" s="3">
        <v>6533</v>
      </c>
      <c r="AD10" s="3">
        <v>6516</v>
      </c>
      <c r="AE10" s="3">
        <v>6499</v>
      </c>
      <c r="AF10" s="3">
        <v>6483</v>
      </c>
      <c r="AG10" s="3">
        <v>6466</v>
      </c>
      <c r="AH10" s="3">
        <v>6451</v>
      </c>
      <c r="AI10" s="3">
        <v>6435</v>
      </c>
      <c r="AJ10" s="3">
        <v>6419</v>
      </c>
      <c r="AK10" s="3">
        <v>6404</v>
      </c>
      <c r="AL10" s="3">
        <v>6389</v>
      </c>
      <c r="AM10" s="3">
        <v>6374</v>
      </c>
      <c r="AN10" s="3">
        <v>6359</v>
      </c>
      <c r="AO10" s="3">
        <v>6344</v>
      </c>
      <c r="AP10" s="3">
        <v>6330</v>
      </c>
      <c r="AQ10" s="3">
        <v>6315</v>
      </c>
      <c r="AR10" s="3">
        <v>6301</v>
      </c>
      <c r="AS10" s="3">
        <v>6287</v>
      </c>
      <c r="AT10" s="3">
        <v>6274</v>
      </c>
      <c r="AU10" s="3">
        <v>6261</v>
      </c>
      <c r="AV10" s="3">
        <v>6248</v>
      </c>
      <c r="AW10" s="3">
        <v>6235</v>
      </c>
      <c r="AX10" s="3">
        <v>6222</v>
      </c>
      <c r="AY10" s="3">
        <v>6209</v>
      </c>
      <c r="AZ10" s="3">
        <v>6197</v>
      </c>
      <c r="BA10" s="3">
        <v>6184</v>
      </c>
      <c r="BB10" s="3">
        <v>6172</v>
      </c>
      <c r="BC10" s="3">
        <v>6160</v>
      </c>
      <c r="BD10" s="3">
        <v>6148</v>
      </c>
      <c r="BE10" s="3">
        <v>6136</v>
      </c>
      <c r="BF10" s="3">
        <v>6124</v>
      </c>
      <c r="BG10" s="3">
        <v>6112</v>
      </c>
      <c r="BH10" s="3">
        <v>6100</v>
      </c>
      <c r="BI10" s="3">
        <v>6088</v>
      </c>
      <c r="BJ10" s="3">
        <v>6077</v>
      </c>
      <c r="BK10" s="3">
        <v>6065</v>
      </c>
      <c r="BL10" s="3">
        <v>6054</v>
      </c>
      <c r="BM10" s="3">
        <v>6043</v>
      </c>
      <c r="BN10" s="3">
        <v>6032</v>
      </c>
    </row>
    <row r="11" spans="2:66" x14ac:dyDescent="0.35">
      <c r="B11">
        <v>24</v>
      </c>
      <c r="C11" s="3">
        <v>6624</v>
      </c>
      <c r="D11" s="3">
        <v>6606</v>
      </c>
      <c r="E11" s="3">
        <v>6588</v>
      </c>
      <c r="F11" s="3">
        <v>6569</v>
      </c>
      <c r="G11" s="3">
        <v>6550</v>
      </c>
      <c r="H11" s="3">
        <v>6531</v>
      </c>
      <c r="I11" s="3">
        <v>6513</v>
      </c>
      <c r="J11" s="3">
        <v>6494</v>
      </c>
      <c r="K11" s="3">
        <v>6475</v>
      </c>
      <c r="L11" s="3">
        <v>6456</v>
      </c>
      <c r="M11" s="3">
        <v>6437</v>
      </c>
      <c r="N11" s="3">
        <v>6418</v>
      </c>
      <c r="O11" s="3">
        <v>6399</v>
      </c>
      <c r="P11" s="3">
        <v>6381</v>
      </c>
      <c r="Q11" s="3">
        <v>6362</v>
      </c>
      <c r="R11" s="3">
        <v>6344</v>
      </c>
      <c r="S11" s="3">
        <v>6326</v>
      </c>
      <c r="T11" s="3">
        <v>6308</v>
      </c>
      <c r="U11" s="3">
        <v>6290</v>
      </c>
      <c r="V11" s="3">
        <v>6273</v>
      </c>
      <c r="W11" s="3">
        <v>6255</v>
      </c>
      <c r="X11" s="3">
        <v>6238</v>
      </c>
      <c r="Y11" s="3">
        <v>6221</v>
      </c>
      <c r="Z11" s="3">
        <v>6205</v>
      </c>
      <c r="AA11" s="3">
        <v>6188</v>
      </c>
      <c r="AB11" s="3">
        <v>6172</v>
      </c>
      <c r="AC11" s="3">
        <v>6157</v>
      </c>
      <c r="AD11" s="3">
        <v>6141</v>
      </c>
      <c r="AE11" s="3">
        <v>6126</v>
      </c>
      <c r="AF11" s="3">
        <v>6110</v>
      </c>
      <c r="AG11" s="3">
        <v>6095</v>
      </c>
      <c r="AH11" s="3">
        <v>6081</v>
      </c>
      <c r="AI11" s="3">
        <v>6066</v>
      </c>
      <c r="AJ11" s="3">
        <v>6052</v>
      </c>
      <c r="AK11" s="3">
        <v>6038</v>
      </c>
      <c r="AL11" s="3">
        <v>6024</v>
      </c>
      <c r="AM11" s="3">
        <v>6010</v>
      </c>
      <c r="AN11" s="3">
        <v>5996</v>
      </c>
      <c r="AO11" s="3">
        <v>5982</v>
      </c>
      <c r="AP11" s="3">
        <v>5969</v>
      </c>
      <c r="AQ11" s="3">
        <v>5955</v>
      </c>
      <c r="AR11" s="3">
        <v>5943</v>
      </c>
      <c r="AS11" s="3">
        <v>5930</v>
      </c>
      <c r="AT11" s="3">
        <v>5918</v>
      </c>
      <c r="AU11" s="3">
        <v>5906</v>
      </c>
      <c r="AV11" s="3">
        <v>5895</v>
      </c>
      <c r="AW11" s="3">
        <v>5883</v>
      </c>
      <c r="AX11" s="3">
        <v>5871</v>
      </c>
      <c r="AY11" s="3">
        <v>5860</v>
      </c>
      <c r="AZ11" s="3">
        <v>5848</v>
      </c>
      <c r="BA11" s="3">
        <v>5837</v>
      </c>
      <c r="BB11" s="3">
        <v>5826</v>
      </c>
      <c r="BC11" s="3">
        <v>5815</v>
      </c>
      <c r="BD11" s="3">
        <v>5804</v>
      </c>
      <c r="BE11" s="3">
        <v>5793</v>
      </c>
      <c r="BF11" s="3">
        <v>5782</v>
      </c>
      <c r="BG11" s="3">
        <v>5771</v>
      </c>
      <c r="BH11" s="3">
        <v>5761</v>
      </c>
      <c r="BI11" s="3">
        <v>5750</v>
      </c>
      <c r="BJ11" s="3">
        <v>5739</v>
      </c>
      <c r="BK11" s="3">
        <v>5729</v>
      </c>
      <c r="BL11" s="3">
        <v>5718</v>
      </c>
      <c r="BM11" s="3">
        <v>5708</v>
      </c>
      <c r="BN11" s="3">
        <v>5698</v>
      </c>
    </row>
    <row r="12" spans="2:66" x14ac:dyDescent="0.35">
      <c r="B12">
        <v>25</v>
      </c>
      <c r="C12" s="3">
        <v>6243</v>
      </c>
      <c r="D12" s="3">
        <v>6227</v>
      </c>
      <c r="E12" s="3">
        <v>6210</v>
      </c>
      <c r="F12" s="3">
        <v>6193</v>
      </c>
      <c r="G12" s="3">
        <v>6176</v>
      </c>
      <c r="H12" s="3">
        <v>6159</v>
      </c>
      <c r="I12" s="3">
        <v>6142</v>
      </c>
      <c r="J12" s="3">
        <v>6125</v>
      </c>
      <c r="K12" s="3">
        <v>6107</v>
      </c>
      <c r="L12" s="3">
        <v>6090</v>
      </c>
      <c r="M12" s="3">
        <v>6073</v>
      </c>
      <c r="N12" s="3">
        <v>6056</v>
      </c>
      <c r="O12" s="3">
        <v>6038</v>
      </c>
      <c r="P12" s="3">
        <v>6021</v>
      </c>
      <c r="Q12" s="3">
        <v>6004</v>
      </c>
      <c r="R12" s="3">
        <v>5988</v>
      </c>
      <c r="S12" s="3">
        <v>5971</v>
      </c>
      <c r="T12" s="3">
        <v>5954</v>
      </c>
      <c r="U12" s="3">
        <v>5938</v>
      </c>
      <c r="V12" s="3">
        <v>5922</v>
      </c>
      <c r="W12" s="3">
        <v>5906</v>
      </c>
      <c r="X12" s="3">
        <v>5890</v>
      </c>
      <c r="Y12" s="3">
        <v>5875</v>
      </c>
      <c r="Z12" s="3">
        <v>5859</v>
      </c>
      <c r="AA12" s="3">
        <v>5844</v>
      </c>
      <c r="AB12" s="3">
        <v>5829</v>
      </c>
      <c r="AC12" s="3">
        <v>5815</v>
      </c>
      <c r="AD12" s="3">
        <v>5800</v>
      </c>
      <c r="AE12" s="3">
        <v>5786</v>
      </c>
      <c r="AF12" s="3">
        <v>5772</v>
      </c>
      <c r="AG12" s="3">
        <v>5758</v>
      </c>
      <c r="AH12" s="3">
        <v>5744</v>
      </c>
      <c r="AI12" s="3">
        <v>5731</v>
      </c>
      <c r="AJ12" s="3">
        <v>5717</v>
      </c>
      <c r="AK12" s="3">
        <v>5704</v>
      </c>
      <c r="AL12" s="3">
        <v>5691</v>
      </c>
      <c r="AM12" s="3">
        <v>5678</v>
      </c>
      <c r="AN12" s="3">
        <v>5665</v>
      </c>
      <c r="AO12" s="3">
        <v>5652</v>
      </c>
      <c r="AP12" s="3">
        <v>5640</v>
      </c>
      <c r="AQ12" s="3">
        <v>5628</v>
      </c>
      <c r="AR12" s="3">
        <v>5617</v>
      </c>
      <c r="AS12" s="3">
        <v>5606</v>
      </c>
      <c r="AT12" s="3">
        <v>5595</v>
      </c>
      <c r="AU12" s="3">
        <v>5584</v>
      </c>
      <c r="AV12" s="3">
        <v>5573</v>
      </c>
      <c r="AW12" s="3">
        <v>5563</v>
      </c>
      <c r="AX12" s="3">
        <v>5552</v>
      </c>
      <c r="AY12" s="3">
        <v>5542</v>
      </c>
      <c r="AZ12" s="3">
        <v>5532</v>
      </c>
      <c r="BA12" s="3">
        <v>5521</v>
      </c>
      <c r="BB12" s="3">
        <v>5511</v>
      </c>
      <c r="BC12" s="3">
        <v>5501</v>
      </c>
      <c r="BD12" s="3">
        <v>5491</v>
      </c>
      <c r="BE12" s="3">
        <v>5481</v>
      </c>
      <c r="BF12" s="3">
        <v>5471</v>
      </c>
      <c r="BG12" s="3">
        <v>5462</v>
      </c>
      <c r="BH12" s="3">
        <v>5452</v>
      </c>
      <c r="BI12" s="3">
        <v>5442</v>
      </c>
      <c r="BJ12" s="3">
        <v>5432</v>
      </c>
      <c r="BK12" s="3">
        <v>5423</v>
      </c>
      <c r="BL12" s="3">
        <v>5414</v>
      </c>
      <c r="BM12" s="3">
        <v>5404</v>
      </c>
      <c r="BN12" s="3">
        <v>5395</v>
      </c>
    </row>
    <row r="13" spans="2:66" x14ac:dyDescent="0.35">
      <c r="B13">
        <v>26</v>
      </c>
      <c r="C13" s="3">
        <v>5899</v>
      </c>
      <c r="D13" s="3">
        <v>5884</v>
      </c>
      <c r="E13" s="3">
        <v>5869</v>
      </c>
      <c r="F13" s="3">
        <v>5853</v>
      </c>
      <c r="G13" s="3">
        <v>5838</v>
      </c>
      <c r="H13" s="3">
        <v>5822</v>
      </c>
      <c r="I13" s="3">
        <v>5806</v>
      </c>
      <c r="J13" s="3">
        <v>5791</v>
      </c>
      <c r="K13" s="3">
        <v>5775</v>
      </c>
      <c r="L13" s="3">
        <v>5759</v>
      </c>
      <c r="M13" s="3">
        <v>5743</v>
      </c>
      <c r="N13" s="3">
        <v>5727</v>
      </c>
      <c r="O13" s="3">
        <v>5712</v>
      </c>
      <c r="P13" s="3">
        <v>5696</v>
      </c>
      <c r="Q13" s="3">
        <v>5680</v>
      </c>
      <c r="R13" s="3">
        <v>5665</v>
      </c>
      <c r="S13" s="3">
        <v>5649</v>
      </c>
      <c r="T13" s="3">
        <v>5634</v>
      </c>
      <c r="U13" s="3">
        <v>5619</v>
      </c>
      <c r="V13" s="3">
        <v>5604</v>
      </c>
      <c r="W13" s="3">
        <v>5589</v>
      </c>
      <c r="X13" s="3">
        <v>5575</v>
      </c>
      <c r="Y13" s="3">
        <v>5560</v>
      </c>
      <c r="Z13" s="3">
        <v>5546</v>
      </c>
      <c r="AA13" s="3">
        <v>5532</v>
      </c>
      <c r="AB13" s="3">
        <v>5518</v>
      </c>
      <c r="AC13" s="3">
        <v>5505</v>
      </c>
      <c r="AD13" s="3">
        <v>5491</v>
      </c>
      <c r="AE13" s="3">
        <v>5478</v>
      </c>
      <c r="AF13" s="3">
        <v>5465</v>
      </c>
      <c r="AG13" s="3">
        <v>5452</v>
      </c>
      <c r="AH13" s="3">
        <v>5439</v>
      </c>
      <c r="AI13" s="3">
        <v>5426</v>
      </c>
      <c r="AJ13" s="3">
        <v>5414</v>
      </c>
      <c r="AK13" s="3">
        <v>5402</v>
      </c>
      <c r="AL13" s="3">
        <v>5389</v>
      </c>
      <c r="AM13" s="3">
        <v>5377</v>
      </c>
      <c r="AN13" s="3">
        <v>5365</v>
      </c>
      <c r="AO13" s="3">
        <v>5353</v>
      </c>
      <c r="AP13" s="3">
        <v>5343</v>
      </c>
      <c r="AQ13" s="3">
        <v>5332</v>
      </c>
      <c r="AR13" s="3">
        <v>5322</v>
      </c>
      <c r="AS13" s="3">
        <v>5312</v>
      </c>
      <c r="AT13" s="3">
        <v>5302</v>
      </c>
      <c r="AU13" s="3">
        <v>5292</v>
      </c>
      <c r="AV13" s="3">
        <v>5282</v>
      </c>
      <c r="AW13" s="3">
        <v>5273</v>
      </c>
      <c r="AX13" s="3">
        <v>5263</v>
      </c>
      <c r="AY13" s="3">
        <v>5254</v>
      </c>
      <c r="AZ13" s="3">
        <v>5244</v>
      </c>
      <c r="BA13" s="3">
        <v>5235</v>
      </c>
      <c r="BB13" s="3">
        <v>5226</v>
      </c>
      <c r="BC13" s="3">
        <v>5217</v>
      </c>
      <c r="BD13" s="3">
        <v>5208</v>
      </c>
      <c r="BE13" s="3">
        <v>5199</v>
      </c>
      <c r="BF13" s="3">
        <v>5190</v>
      </c>
      <c r="BG13" s="3">
        <v>5181</v>
      </c>
      <c r="BH13" s="3">
        <v>5172</v>
      </c>
      <c r="BI13" s="3">
        <v>5163</v>
      </c>
      <c r="BJ13" s="3">
        <v>5154</v>
      </c>
      <c r="BK13" s="3">
        <v>5146</v>
      </c>
      <c r="BL13" s="3">
        <v>5137</v>
      </c>
      <c r="BM13" s="3">
        <v>5128</v>
      </c>
      <c r="BN13" s="3">
        <v>5120</v>
      </c>
    </row>
    <row r="14" spans="2:66" x14ac:dyDescent="0.35">
      <c r="B14">
        <v>27</v>
      </c>
      <c r="C14" s="3">
        <v>5590</v>
      </c>
      <c r="D14" s="3">
        <v>5576</v>
      </c>
      <c r="E14" s="3">
        <v>5562</v>
      </c>
      <c r="F14" s="3">
        <v>5548</v>
      </c>
      <c r="G14" s="3">
        <v>5534</v>
      </c>
      <c r="H14" s="3">
        <v>5519</v>
      </c>
      <c r="I14" s="3">
        <v>5505</v>
      </c>
      <c r="J14" s="3">
        <v>5490</v>
      </c>
      <c r="K14" s="3">
        <v>5476</v>
      </c>
      <c r="L14" s="3">
        <v>5461</v>
      </c>
      <c r="M14" s="3">
        <v>5446</v>
      </c>
      <c r="N14" s="3">
        <v>5432</v>
      </c>
      <c r="O14" s="3">
        <v>5417</v>
      </c>
      <c r="P14" s="3">
        <v>5403</v>
      </c>
      <c r="Q14" s="3">
        <v>5388</v>
      </c>
      <c r="R14" s="3">
        <v>5374</v>
      </c>
      <c r="S14" s="3">
        <v>5360</v>
      </c>
      <c r="T14" s="3">
        <v>5346</v>
      </c>
      <c r="U14" s="3">
        <v>5332</v>
      </c>
      <c r="V14" s="3">
        <v>5318</v>
      </c>
      <c r="W14" s="3">
        <v>5304</v>
      </c>
      <c r="X14" s="3">
        <v>5290</v>
      </c>
      <c r="Y14" s="3">
        <v>5277</v>
      </c>
      <c r="Z14" s="3">
        <v>5264</v>
      </c>
      <c r="AA14" s="3">
        <v>5251</v>
      </c>
      <c r="AB14" s="3">
        <v>5238</v>
      </c>
      <c r="AC14" s="3">
        <v>5225</v>
      </c>
      <c r="AD14" s="3">
        <v>5212</v>
      </c>
      <c r="AE14" s="3">
        <v>5200</v>
      </c>
      <c r="AF14" s="3">
        <v>5188</v>
      </c>
      <c r="AG14" s="3">
        <v>5175</v>
      </c>
      <c r="AH14" s="3">
        <v>5163</v>
      </c>
      <c r="AI14" s="3">
        <v>5152</v>
      </c>
      <c r="AJ14" s="3">
        <v>5140</v>
      </c>
      <c r="AK14" s="3">
        <v>5128</v>
      </c>
      <c r="AL14" s="3">
        <v>5117</v>
      </c>
      <c r="AM14" s="3">
        <v>5105</v>
      </c>
      <c r="AN14" s="3">
        <v>5094</v>
      </c>
      <c r="AO14" s="3">
        <v>5084</v>
      </c>
      <c r="AP14" s="3">
        <v>5075</v>
      </c>
      <c r="AQ14" s="3">
        <v>5065</v>
      </c>
      <c r="AR14" s="3">
        <v>5056</v>
      </c>
      <c r="AS14" s="3">
        <v>5047</v>
      </c>
      <c r="AT14" s="3">
        <v>5038</v>
      </c>
      <c r="AU14" s="3">
        <v>5029</v>
      </c>
      <c r="AV14" s="3">
        <v>5020</v>
      </c>
      <c r="AW14" s="3">
        <v>5011</v>
      </c>
      <c r="AX14" s="3">
        <v>5002</v>
      </c>
      <c r="AY14" s="3">
        <v>4994</v>
      </c>
      <c r="AZ14" s="3">
        <v>4985</v>
      </c>
      <c r="BA14" s="3">
        <v>4977</v>
      </c>
      <c r="BB14" s="3">
        <v>4968</v>
      </c>
      <c r="BC14" s="3">
        <v>4960</v>
      </c>
      <c r="BD14" s="3">
        <v>4952</v>
      </c>
      <c r="BE14" s="3">
        <v>4943</v>
      </c>
      <c r="BF14" s="3">
        <v>4935</v>
      </c>
      <c r="BG14" s="3">
        <v>4927</v>
      </c>
      <c r="BH14" s="3">
        <v>4919</v>
      </c>
      <c r="BI14" s="3">
        <v>4911</v>
      </c>
      <c r="BJ14" s="3">
        <v>4903</v>
      </c>
      <c r="BK14" s="3">
        <v>4895</v>
      </c>
      <c r="BL14" s="3">
        <v>4887</v>
      </c>
      <c r="BM14" s="3">
        <v>4879</v>
      </c>
      <c r="BN14" s="3">
        <v>4871</v>
      </c>
    </row>
    <row r="15" spans="2:66" x14ac:dyDescent="0.35">
      <c r="B15">
        <v>28</v>
      </c>
      <c r="C15" s="3">
        <v>5311</v>
      </c>
      <c r="D15" s="3">
        <v>5298</v>
      </c>
      <c r="E15" s="3">
        <v>5285</v>
      </c>
      <c r="F15" s="3">
        <v>5272</v>
      </c>
      <c r="G15" s="3">
        <v>5259</v>
      </c>
      <c r="H15" s="3">
        <v>5246</v>
      </c>
      <c r="I15" s="3">
        <v>5233</v>
      </c>
      <c r="J15" s="3">
        <v>5219</v>
      </c>
      <c r="K15" s="3">
        <v>5206</v>
      </c>
      <c r="L15" s="3">
        <v>5192</v>
      </c>
      <c r="M15" s="3">
        <v>5179</v>
      </c>
      <c r="N15" s="3">
        <v>5165</v>
      </c>
      <c r="O15" s="3">
        <v>5152</v>
      </c>
      <c r="P15" s="3">
        <v>5138</v>
      </c>
      <c r="Q15" s="3">
        <v>5125</v>
      </c>
      <c r="R15" s="3">
        <v>5112</v>
      </c>
      <c r="S15" s="3">
        <v>5098</v>
      </c>
      <c r="T15" s="3">
        <v>5085</v>
      </c>
      <c r="U15" s="3">
        <v>5072</v>
      </c>
      <c r="V15" s="3">
        <v>5059</v>
      </c>
      <c r="W15" s="3">
        <v>5046</v>
      </c>
      <c r="X15" s="3">
        <v>5033</v>
      </c>
      <c r="Y15" s="3">
        <v>5021</v>
      </c>
      <c r="Z15" s="3">
        <v>5008</v>
      </c>
      <c r="AA15" s="3">
        <v>4996</v>
      </c>
      <c r="AB15" s="3">
        <v>4984</v>
      </c>
      <c r="AC15" s="3">
        <v>4972</v>
      </c>
      <c r="AD15" s="3">
        <v>4960</v>
      </c>
      <c r="AE15" s="3">
        <v>4949</v>
      </c>
      <c r="AF15" s="3">
        <v>4937</v>
      </c>
      <c r="AG15" s="3">
        <v>4926</v>
      </c>
      <c r="AH15" s="3">
        <v>4914</v>
      </c>
      <c r="AI15" s="3">
        <v>4903</v>
      </c>
      <c r="AJ15" s="3">
        <v>4892</v>
      </c>
      <c r="AK15" s="3">
        <v>4881</v>
      </c>
      <c r="AL15" s="3">
        <v>4870</v>
      </c>
      <c r="AM15" s="3">
        <v>4859</v>
      </c>
      <c r="AN15" s="3">
        <v>4850</v>
      </c>
      <c r="AO15" s="3">
        <v>4841</v>
      </c>
      <c r="AP15" s="3">
        <v>4833</v>
      </c>
      <c r="AQ15" s="3">
        <v>4824</v>
      </c>
      <c r="AR15" s="3">
        <v>4816</v>
      </c>
      <c r="AS15" s="3">
        <v>4807</v>
      </c>
      <c r="AT15" s="3">
        <v>4799</v>
      </c>
      <c r="AU15" s="3">
        <v>4791</v>
      </c>
      <c r="AV15" s="3">
        <v>4782</v>
      </c>
      <c r="AW15" s="3">
        <v>4774</v>
      </c>
      <c r="AX15" s="3">
        <v>4766</v>
      </c>
      <c r="AY15" s="3">
        <v>4758</v>
      </c>
      <c r="AZ15" s="3">
        <v>4751</v>
      </c>
      <c r="BA15" s="3">
        <v>4743</v>
      </c>
      <c r="BB15" s="3">
        <v>4735</v>
      </c>
      <c r="BC15" s="3">
        <v>4727</v>
      </c>
      <c r="BD15" s="3">
        <v>4720</v>
      </c>
      <c r="BE15" s="3">
        <v>4712</v>
      </c>
      <c r="BF15" s="3">
        <v>4705</v>
      </c>
      <c r="BG15" s="3">
        <v>4697</v>
      </c>
      <c r="BH15" s="3">
        <v>4690</v>
      </c>
      <c r="BI15" s="3">
        <v>4682</v>
      </c>
      <c r="BJ15" s="3">
        <v>4675</v>
      </c>
      <c r="BK15" s="3">
        <v>4667</v>
      </c>
      <c r="BL15" s="3">
        <v>4660</v>
      </c>
      <c r="BM15" s="3">
        <v>4653</v>
      </c>
      <c r="BN15" s="3">
        <v>4645</v>
      </c>
    </row>
    <row r="16" spans="2:66" x14ac:dyDescent="0.35">
      <c r="B16">
        <v>29</v>
      </c>
      <c r="C16" s="3">
        <v>5059</v>
      </c>
      <c r="D16" s="3">
        <v>5048</v>
      </c>
      <c r="E16" s="3">
        <v>5036</v>
      </c>
      <c r="F16" s="3">
        <v>5024</v>
      </c>
      <c r="G16" s="3">
        <v>5012</v>
      </c>
      <c r="H16" s="3">
        <v>5000</v>
      </c>
      <c r="I16" s="3">
        <v>4987</v>
      </c>
      <c r="J16" s="3">
        <v>4975</v>
      </c>
      <c r="K16" s="3">
        <v>4962</v>
      </c>
      <c r="L16" s="3">
        <v>4950</v>
      </c>
      <c r="M16" s="3">
        <v>4937</v>
      </c>
      <c r="N16" s="3">
        <v>4925</v>
      </c>
      <c r="O16" s="3">
        <v>4912</v>
      </c>
      <c r="P16" s="3">
        <v>4899</v>
      </c>
      <c r="Q16" s="3">
        <v>4887</v>
      </c>
      <c r="R16" s="3">
        <v>4874</v>
      </c>
      <c r="S16" s="3">
        <v>4862</v>
      </c>
      <c r="T16" s="3">
        <v>4850</v>
      </c>
      <c r="U16" s="3">
        <v>4837</v>
      </c>
      <c r="V16" s="3">
        <v>4825</v>
      </c>
      <c r="W16" s="3">
        <v>4813</v>
      </c>
      <c r="X16" s="3">
        <v>4801</v>
      </c>
      <c r="Y16" s="3">
        <v>4789</v>
      </c>
      <c r="Z16" s="3">
        <v>4777</v>
      </c>
      <c r="AA16" s="3">
        <v>4766</v>
      </c>
      <c r="AB16" s="3">
        <v>4754</v>
      </c>
      <c r="AC16" s="3">
        <v>4743</v>
      </c>
      <c r="AD16" s="3">
        <v>4732</v>
      </c>
      <c r="AE16" s="3">
        <v>4721</v>
      </c>
      <c r="AF16" s="3">
        <v>4710</v>
      </c>
      <c r="AG16" s="3">
        <v>4699</v>
      </c>
      <c r="AH16" s="3">
        <v>4688</v>
      </c>
      <c r="AI16" s="3">
        <v>4678</v>
      </c>
      <c r="AJ16" s="3">
        <v>4667</v>
      </c>
      <c r="AK16" s="3">
        <v>4657</v>
      </c>
      <c r="AL16" s="3">
        <v>4646</v>
      </c>
      <c r="AM16" s="3">
        <v>4638</v>
      </c>
      <c r="AN16" s="3">
        <v>4630</v>
      </c>
      <c r="AO16" s="3">
        <v>4622</v>
      </c>
      <c r="AP16" s="3">
        <v>4614</v>
      </c>
      <c r="AQ16" s="3">
        <v>4606</v>
      </c>
      <c r="AR16" s="3">
        <v>4598</v>
      </c>
      <c r="AS16" s="3">
        <v>4590</v>
      </c>
      <c r="AT16" s="3">
        <v>4582</v>
      </c>
      <c r="AU16" s="3">
        <v>4575</v>
      </c>
      <c r="AV16" s="3">
        <v>4567</v>
      </c>
      <c r="AW16" s="3">
        <v>4560</v>
      </c>
      <c r="AX16" s="3">
        <v>4553</v>
      </c>
      <c r="AY16" s="3">
        <v>4545</v>
      </c>
      <c r="AZ16" s="3">
        <v>4538</v>
      </c>
      <c r="BA16" s="3">
        <v>4531</v>
      </c>
      <c r="BB16" s="3">
        <v>4524</v>
      </c>
      <c r="BC16" s="3">
        <v>4517</v>
      </c>
      <c r="BD16" s="3">
        <v>4510</v>
      </c>
      <c r="BE16" s="3">
        <v>4503</v>
      </c>
      <c r="BF16" s="3">
        <v>4496</v>
      </c>
      <c r="BG16" s="3">
        <v>4489</v>
      </c>
      <c r="BH16" s="3">
        <v>4482</v>
      </c>
      <c r="BI16" s="3">
        <v>4475</v>
      </c>
      <c r="BJ16" s="3">
        <v>4468</v>
      </c>
      <c r="BK16" s="3">
        <v>4461</v>
      </c>
      <c r="BL16" s="3">
        <v>4454</v>
      </c>
      <c r="BM16" s="3">
        <v>4447</v>
      </c>
      <c r="BN16" s="3">
        <v>4441</v>
      </c>
    </row>
    <row r="17" spans="2:66" x14ac:dyDescent="0.35">
      <c r="B17">
        <v>30</v>
      </c>
      <c r="C17" s="3">
        <v>4833</v>
      </c>
      <c r="D17" s="3">
        <v>4822</v>
      </c>
      <c r="E17" s="3">
        <v>4811</v>
      </c>
      <c r="F17" s="3">
        <v>4800</v>
      </c>
      <c r="G17" s="3">
        <v>4789</v>
      </c>
      <c r="H17" s="3">
        <v>4777</v>
      </c>
      <c r="I17" s="3">
        <v>4766</v>
      </c>
      <c r="J17" s="3">
        <v>4754</v>
      </c>
      <c r="K17" s="3">
        <v>4743</v>
      </c>
      <c r="L17" s="3">
        <v>4731</v>
      </c>
      <c r="M17" s="3">
        <v>4719</v>
      </c>
      <c r="N17" s="3">
        <v>4707</v>
      </c>
      <c r="O17" s="3">
        <v>4696</v>
      </c>
      <c r="P17" s="3">
        <v>4684</v>
      </c>
      <c r="Q17" s="3">
        <v>4672</v>
      </c>
      <c r="R17" s="3">
        <v>4660</v>
      </c>
      <c r="S17" s="3">
        <v>4648</v>
      </c>
      <c r="T17" s="3">
        <v>4637</v>
      </c>
      <c r="U17" s="3">
        <v>4625</v>
      </c>
      <c r="V17" s="3">
        <v>4614</v>
      </c>
      <c r="W17" s="3">
        <v>4602</v>
      </c>
      <c r="X17" s="3">
        <v>4591</v>
      </c>
      <c r="Y17" s="3">
        <v>4580</v>
      </c>
      <c r="Z17" s="3">
        <v>4569</v>
      </c>
      <c r="AA17" s="3">
        <v>4558</v>
      </c>
      <c r="AB17" s="3">
        <v>4547</v>
      </c>
      <c r="AC17" s="3">
        <v>4536</v>
      </c>
      <c r="AD17" s="3">
        <v>4525</v>
      </c>
      <c r="AE17" s="3">
        <v>4515</v>
      </c>
      <c r="AF17" s="3">
        <v>4504</v>
      </c>
      <c r="AG17" s="3">
        <v>4494</v>
      </c>
      <c r="AH17" s="3">
        <v>4484</v>
      </c>
      <c r="AI17" s="3">
        <v>4474</v>
      </c>
      <c r="AJ17" s="3">
        <v>4464</v>
      </c>
      <c r="AK17" s="3">
        <v>4454</v>
      </c>
      <c r="AL17" s="3">
        <v>4446</v>
      </c>
      <c r="AM17" s="3">
        <v>4438</v>
      </c>
      <c r="AN17" s="3">
        <v>4430</v>
      </c>
      <c r="AO17" s="3">
        <v>4423</v>
      </c>
      <c r="AP17" s="3">
        <v>4416</v>
      </c>
      <c r="AQ17" s="3">
        <v>4408</v>
      </c>
      <c r="AR17" s="3">
        <v>4401</v>
      </c>
      <c r="AS17" s="3">
        <v>4394</v>
      </c>
      <c r="AT17" s="3">
        <v>4387</v>
      </c>
      <c r="AU17" s="3">
        <v>4380</v>
      </c>
      <c r="AV17" s="3">
        <v>4373</v>
      </c>
      <c r="AW17" s="3">
        <v>4366</v>
      </c>
      <c r="AX17" s="3">
        <v>4359</v>
      </c>
      <c r="AY17" s="3">
        <v>4352</v>
      </c>
      <c r="AZ17" s="3">
        <v>4346</v>
      </c>
      <c r="BA17" s="3">
        <v>4339</v>
      </c>
      <c r="BB17" s="3">
        <v>4332</v>
      </c>
      <c r="BC17" s="3">
        <v>4326</v>
      </c>
      <c r="BD17" s="3">
        <v>4319</v>
      </c>
      <c r="BE17" s="3">
        <v>4313</v>
      </c>
      <c r="BF17" s="3">
        <v>4307</v>
      </c>
      <c r="BG17" s="3">
        <v>4300</v>
      </c>
      <c r="BH17" s="3">
        <v>4294</v>
      </c>
      <c r="BI17" s="3">
        <v>4287</v>
      </c>
      <c r="BJ17" s="3">
        <v>4281</v>
      </c>
      <c r="BK17" s="3">
        <v>4274</v>
      </c>
      <c r="BL17" s="3">
        <v>4268</v>
      </c>
      <c r="BM17" s="3">
        <v>4261</v>
      </c>
      <c r="BN17" s="3">
        <v>4255</v>
      </c>
    </row>
    <row r="18" spans="2:66" x14ac:dyDescent="0.35">
      <c r="B18">
        <v>31</v>
      </c>
      <c r="C18" s="3">
        <v>4631</v>
      </c>
      <c r="D18" s="3">
        <v>4621</v>
      </c>
      <c r="E18" s="3">
        <v>4611</v>
      </c>
      <c r="F18" s="3">
        <v>4600</v>
      </c>
      <c r="G18" s="3">
        <v>4590</v>
      </c>
      <c r="H18" s="3">
        <v>4579</v>
      </c>
      <c r="I18" s="3">
        <v>4568</v>
      </c>
      <c r="J18" s="3">
        <v>4558</v>
      </c>
      <c r="K18" s="3">
        <v>4547</v>
      </c>
      <c r="L18" s="3">
        <v>4536</v>
      </c>
      <c r="M18" s="3">
        <v>4525</v>
      </c>
      <c r="N18" s="3">
        <v>4513</v>
      </c>
      <c r="O18" s="3">
        <v>4502</v>
      </c>
      <c r="P18" s="3">
        <v>4491</v>
      </c>
      <c r="Q18" s="3">
        <v>4480</v>
      </c>
      <c r="R18" s="3">
        <v>4469</v>
      </c>
      <c r="S18" s="3">
        <v>4458</v>
      </c>
      <c r="T18" s="3">
        <v>4447</v>
      </c>
      <c r="U18" s="3">
        <v>4435</v>
      </c>
      <c r="V18" s="3">
        <v>4425</v>
      </c>
      <c r="W18" s="3">
        <v>4414</v>
      </c>
      <c r="X18" s="3">
        <v>4403</v>
      </c>
      <c r="Y18" s="3">
        <v>4392</v>
      </c>
      <c r="Z18" s="3">
        <v>4382</v>
      </c>
      <c r="AA18" s="3">
        <v>4371</v>
      </c>
      <c r="AB18" s="3">
        <v>4361</v>
      </c>
      <c r="AC18" s="3">
        <v>4350</v>
      </c>
      <c r="AD18" s="3">
        <v>4340</v>
      </c>
      <c r="AE18" s="3">
        <v>4330</v>
      </c>
      <c r="AF18" s="3">
        <v>4320</v>
      </c>
      <c r="AG18" s="3">
        <v>4310</v>
      </c>
      <c r="AH18" s="3">
        <v>4300</v>
      </c>
      <c r="AI18" s="3">
        <v>4291</v>
      </c>
      <c r="AJ18" s="3">
        <v>4281</v>
      </c>
      <c r="AK18" s="3">
        <v>4274</v>
      </c>
      <c r="AL18" s="3">
        <v>4266</v>
      </c>
      <c r="AM18" s="3">
        <v>4259</v>
      </c>
      <c r="AN18" s="3">
        <v>4252</v>
      </c>
      <c r="AO18" s="3">
        <v>4245</v>
      </c>
      <c r="AP18" s="3">
        <v>4238</v>
      </c>
      <c r="AQ18" s="3">
        <v>4231</v>
      </c>
      <c r="AR18" s="3">
        <v>4225</v>
      </c>
      <c r="AS18" s="3">
        <v>4218</v>
      </c>
      <c r="AT18" s="3">
        <v>4211</v>
      </c>
      <c r="AU18" s="3">
        <v>4205</v>
      </c>
      <c r="AV18" s="3">
        <v>4198</v>
      </c>
      <c r="AW18" s="3">
        <v>4192</v>
      </c>
      <c r="AX18" s="3">
        <v>4186</v>
      </c>
      <c r="AY18" s="3">
        <v>4179</v>
      </c>
      <c r="AZ18" s="3">
        <v>4173</v>
      </c>
      <c r="BA18" s="3">
        <v>4167</v>
      </c>
      <c r="BB18" s="3">
        <v>4161</v>
      </c>
      <c r="BC18" s="3">
        <v>4155</v>
      </c>
      <c r="BD18" s="3">
        <v>4148</v>
      </c>
      <c r="BE18" s="3">
        <v>4142</v>
      </c>
      <c r="BF18" s="3">
        <v>4136</v>
      </c>
      <c r="BG18" s="3">
        <v>4130</v>
      </c>
      <c r="BH18" s="3">
        <v>4124</v>
      </c>
      <c r="BI18" s="3">
        <v>4118</v>
      </c>
      <c r="BJ18" s="3">
        <v>4112</v>
      </c>
      <c r="BK18" s="3">
        <v>4106</v>
      </c>
      <c r="BL18" s="3">
        <v>4100</v>
      </c>
      <c r="BM18" s="3">
        <v>4094</v>
      </c>
      <c r="BN18" s="3">
        <v>4088</v>
      </c>
    </row>
    <row r="19" spans="2:66" x14ac:dyDescent="0.35">
      <c r="B19">
        <v>32</v>
      </c>
      <c r="C19" s="3">
        <v>4453</v>
      </c>
      <c r="D19" s="3">
        <v>4444</v>
      </c>
      <c r="E19" s="3">
        <v>4434</v>
      </c>
      <c r="F19" s="3">
        <v>4424</v>
      </c>
      <c r="G19" s="3">
        <v>4414</v>
      </c>
      <c r="H19" s="3">
        <v>4404</v>
      </c>
      <c r="I19" s="3">
        <v>4394</v>
      </c>
      <c r="J19" s="3">
        <v>4384</v>
      </c>
      <c r="K19" s="3">
        <v>4374</v>
      </c>
      <c r="L19" s="3">
        <v>4363</v>
      </c>
      <c r="M19" s="3">
        <v>4353</v>
      </c>
      <c r="N19" s="3">
        <v>4342</v>
      </c>
      <c r="O19" s="3">
        <v>4331</v>
      </c>
      <c r="P19" s="3">
        <v>4321</v>
      </c>
      <c r="Q19" s="3">
        <v>4310</v>
      </c>
      <c r="R19" s="3">
        <v>4299</v>
      </c>
      <c r="S19" s="3">
        <v>4289</v>
      </c>
      <c r="T19" s="3">
        <v>4278</v>
      </c>
      <c r="U19" s="3">
        <v>4268</v>
      </c>
      <c r="V19" s="3">
        <v>4257</v>
      </c>
      <c r="W19" s="3">
        <v>4247</v>
      </c>
      <c r="X19" s="3">
        <v>4236</v>
      </c>
      <c r="Y19" s="3">
        <v>4226</v>
      </c>
      <c r="Z19" s="3">
        <v>4216</v>
      </c>
      <c r="AA19" s="3">
        <v>4206</v>
      </c>
      <c r="AB19" s="3">
        <v>4196</v>
      </c>
      <c r="AC19" s="3">
        <v>4186</v>
      </c>
      <c r="AD19" s="3">
        <v>4176</v>
      </c>
      <c r="AE19" s="3">
        <v>4166</v>
      </c>
      <c r="AF19" s="3">
        <v>4157</v>
      </c>
      <c r="AG19" s="3">
        <v>4147</v>
      </c>
      <c r="AH19" s="3">
        <v>4138</v>
      </c>
      <c r="AI19" s="3">
        <v>4128</v>
      </c>
      <c r="AJ19" s="3">
        <v>4121</v>
      </c>
      <c r="AK19" s="3">
        <v>4114</v>
      </c>
      <c r="AL19" s="3">
        <v>4107</v>
      </c>
      <c r="AM19" s="3">
        <v>4100</v>
      </c>
      <c r="AN19" s="3">
        <v>4094</v>
      </c>
      <c r="AO19" s="3">
        <v>4087</v>
      </c>
      <c r="AP19" s="3">
        <v>4081</v>
      </c>
      <c r="AQ19" s="3">
        <v>4074</v>
      </c>
      <c r="AR19" s="3">
        <v>4068</v>
      </c>
      <c r="AS19" s="3">
        <v>4061</v>
      </c>
      <c r="AT19" s="3">
        <v>4055</v>
      </c>
      <c r="AU19" s="3">
        <v>4049</v>
      </c>
      <c r="AV19" s="3">
        <v>4043</v>
      </c>
      <c r="AW19" s="3">
        <v>4037</v>
      </c>
      <c r="AX19" s="3">
        <v>4031</v>
      </c>
      <c r="AY19" s="3">
        <v>4025</v>
      </c>
      <c r="AZ19" s="3">
        <v>4019</v>
      </c>
      <c r="BA19" s="3">
        <v>4013</v>
      </c>
      <c r="BB19" s="3">
        <v>4007</v>
      </c>
      <c r="BC19" s="3">
        <v>4002</v>
      </c>
      <c r="BD19" s="3">
        <v>3996</v>
      </c>
      <c r="BE19" s="3">
        <v>3990</v>
      </c>
      <c r="BF19" s="3">
        <v>3984</v>
      </c>
      <c r="BG19" s="3">
        <v>3979</v>
      </c>
      <c r="BH19" s="3">
        <v>3973</v>
      </c>
      <c r="BI19" s="3">
        <v>3967</v>
      </c>
      <c r="BJ19" s="3">
        <v>3961</v>
      </c>
      <c r="BK19" s="3">
        <v>3955</v>
      </c>
      <c r="BL19" s="3">
        <v>3950</v>
      </c>
      <c r="BM19" s="3">
        <v>3944</v>
      </c>
      <c r="BN19" s="3">
        <v>3938</v>
      </c>
    </row>
    <row r="20" spans="2:66" x14ac:dyDescent="0.35">
      <c r="B20">
        <v>33</v>
      </c>
      <c r="C20" s="3">
        <v>4296</v>
      </c>
      <c r="D20" s="3">
        <v>4287</v>
      </c>
      <c r="E20" s="3">
        <v>4278</v>
      </c>
      <c r="F20" s="3">
        <v>4269</v>
      </c>
      <c r="G20" s="3">
        <v>4260</v>
      </c>
      <c r="H20" s="3">
        <v>4250</v>
      </c>
      <c r="I20" s="3">
        <v>4240</v>
      </c>
      <c r="J20" s="3">
        <v>4231</v>
      </c>
      <c r="K20" s="3">
        <v>4221</v>
      </c>
      <c r="L20" s="3">
        <v>4211</v>
      </c>
      <c r="M20" s="3">
        <v>4201</v>
      </c>
      <c r="N20" s="3">
        <v>4190</v>
      </c>
      <c r="O20" s="3">
        <v>4180</v>
      </c>
      <c r="P20" s="3">
        <v>4170</v>
      </c>
      <c r="Q20" s="3">
        <v>4160</v>
      </c>
      <c r="R20" s="3">
        <v>4149</v>
      </c>
      <c r="S20" s="3">
        <v>4139</v>
      </c>
      <c r="T20" s="3">
        <v>4129</v>
      </c>
      <c r="U20" s="3">
        <v>4119</v>
      </c>
      <c r="V20" s="3">
        <v>4109</v>
      </c>
      <c r="W20" s="3">
        <v>4099</v>
      </c>
      <c r="X20" s="3">
        <v>4089</v>
      </c>
      <c r="Y20" s="3">
        <v>4079</v>
      </c>
      <c r="Z20" s="3">
        <v>4069</v>
      </c>
      <c r="AA20" s="3">
        <v>4059</v>
      </c>
      <c r="AB20" s="3">
        <v>4049</v>
      </c>
      <c r="AC20" s="3">
        <v>4040</v>
      </c>
      <c r="AD20" s="3">
        <v>4030</v>
      </c>
      <c r="AE20" s="3">
        <v>4021</v>
      </c>
      <c r="AF20" s="3">
        <v>4011</v>
      </c>
      <c r="AG20" s="3">
        <v>4002</v>
      </c>
      <c r="AH20" s="3">
        <v>3993</v>
      </c>
      <c r="AI20" s="3">
        <v>3986</v>
      </c>
      <c r="AJ20" s="3">
        <v>3979</v>
      </c>
      <c r="AK20" s="3">
        <v>3972</v>
      </c>
      <c r="AL20" s="3">
        <v>3966</v>
      </c>
      <c r="AM20" s="3">
        <v>3959</v>
      </c>
      <c r="AN20" s="3">
        <v>3953</v>
      </c>
      <c r="AO20" s="3">
        <v>3947</v>
      </c>
      <c r="AP20" s="3">
        <v>3940</v>
      </c>
      <c r="AQ20" s="3">
        <v>3934</v>
      </c>
      <c r="AR20" s="3">
        <v>3928</v>
      </c>
      <c r="AS20" s="3">
        <v>3922</v>
      </c>
      <c r="AT20" s="3">
        <v>3916</v>
      </c>
      <c r="AU20" s="3">
        <v>3910</v>
      </c>
      <c r="AV20" s="3">
        <v>3904</v>
      </c>
      <c r="AW20" s="3">
        <v>3899</v>
      </c>
      <c r="AX20" s="3">
        <v>3893</v>
      </c>
      <c r="AY20" s="3">
        <v>3887</v>
      </c>
      <c r="AZ20" s="3">
        <v>3882</v>
      </c>
      <c r="BA20" s="3">
        <v>3876</v>
      </c>
      <c r="BB20" s="3">
        <v>3871</v>
      </c>
      <c r="BC20" s="3">
        <v>3865</v>
      </c>
      <c r="BD20" s="3">
        <v>3860</v>
      </c>
      <c r="BE20" s="3">
        <v>3854</v>
      </c>
      <c r="BF20" s="3">
        <v>3849</v>
      </c>
      <c r="BG20" s="3">
        <v>3843</v>
      </c>
      <c r="BH20" s="3">
        <v>3838</v>
      </c>
      <c r="BI20" s="3">
        <v>3832</v>
      </c>
      <c r="BJ20" s="3">
        <v>3826</v>
      </c>
      <c r="BK20" s="3">
        <v>3821</v>
      </c>
      <c r="BL20" s="3">
        <v>3815</v>
      </c>
      <c r="BM20" s="3">
        <v>3810</v>
      </c>
      <c r="BN20" s="3">
        <v>3804</v>
      </c>
    </row>
    <row r="21" spans="2:66" x14ac:dyDescent="0.35">
      <c r="B21">
        <v>34</v>
      </c>
      <c r="C21" s="3">
        <v>4158</v>
      </c>
      <c r="D21" s="3">
        <v>4150</v>
      </c>
      <c r="E21" s="3">
        <v>4141</v>
      </c>
      <c r="F21" s="3">
        <v>4132</v>
      </c>
      <c r="G21" s="3">
        <v>4123</v>
      </c>
      <c r="H21" s="3">
        <v>4114</v>
      </c>
      <c r="I21" s="3">
        <v>4105</v>
      </c>
      <c r="J21" s="3">
        <v>4095</v>
      </c>
      <c r="K21" s="3">
        <v>4086</v>
      </c>
      <c r="L21" s="3">
        <v>4076</v>
      </c>
      <c r="M21" s="3">
        <v>4066</v>
      </c>
      <c r="N21" s="3">
        <v>4057</v>
      </c>
      <c r="O21" s="3">
        <v>4047</v>
      </c>
      <c r="P21" s="3">
        <v>4037</v>
      </c>
      <c r="Q21" s="3">
        <v>4027</v>
      </c>
      <c r="R21" s="3">
        <v>4017</v>
      </c>
      <c r="S21" s="3">
        <v>4007</v>
      </c>
      <c r="T21" s="3">
        <v>3997</v>
      </c>
      <c r="U21" s="3">
        <v>3987</v>
      </c>
      <c r="V21" s="3">
        <v>3977</v>
      </c>
      <c r="W21" s="3">
        <v>3967</v>
      </c>
      <c r="X21" s="3">
        <v>3958</v>
      </c>
      <c r="Y21" s="3">
        <v>3948</v>
      </c>
      <c r="Z21" s="3">
        <v>3938</v>
      </c>
      <c r="AA21" s="3">
        <v>3929</v>
      </c>
      <c r="AB21" s="3">
        <v>3919</v>
      </c>
      <c r="AC21" s="3">
        <v>3910</v>
      </c>
      <c r="AD21" s="3">
        <v>3900</v>
      </c>
      <c r="AE21" s="3">
        <v>3891</v>
      </c>
      <c r="AF21" s="3">
        <v>3882</v>
      </c>
      <c r="AG21" s="3">
        <v>3873</v>
      </c>
      <c r="AH21" s="3">
        <v>3866</v>
      </c>
      <c r="AI21" s="3">
        <v>3860</v>
      </c>
      <c r="AJ21" s="3">
        <v>3853</v>
      </c>
      <c r="AK21" s="3">
        <v>3847</v>
      </c>
      <c r="AL21" s="3">
        <v>3840</v>
      </c>
      <c r="AM21" s="3">
        <v>3834</v>
      </c>
      <c r="AN21" s="3">
        <v>3828</v>
      </c>
      <c r="AO21" s="3">
        <v>3822</v>
      </c>
      <c r="AP21" s="3">
        <v>3816</v>
      </c>
      <c r="AQ21" s="3">
        <v>3810</v>
      </c>
      <c r="AR21" s="3">
        <v>3804</v>
      </c>
      <c r="AS21" s="3">
        <v>3798</v>
      </c>
      <c r="AT21" s="3">
        <v>3792</v>
      </c>
      <c r="AU21" s="3">
        <v>3787</v>
      </c>
      <c r="AV21" s="3">
        <v>3781</v>
      </c>
      <c r="AW21" s="3">
        <v>3776</v>
      </c>
      <c r="AX21" s="3">
        <v>3770</v>
      </c>
      <c r="AY21" s="3">
        <v>3765</v>
      </c>
      <c r="AZ21" s="3">
        <v>3759</v>
      </c>
      <c r="BA21" s="3">
        <v>3754</v>
      </c>
      <c r="BB21" s="3">
        <v>3748</v>
      </c>
      <c r="BC21" s="3">
        <v>3743</v>
      </c>
      <c r="BD21" s="3">
        <v>3738</v>
      </c>
      <c r="BE21" s="3">
        <v>3733</v>
      </c>
      <c r="BF21" s="3">
        <v>3727</v>
      </c>
      <c r="BG21" s="3">
        <v>3722</v>
      </c>
      <c r="BH21" s="3">
        <v>3717</v>
      </c>
      <c r="BI21" s="3">
        <v>3711</v>
      </c>
      <c r="BJ21" s="3">
        <v>3706</v>
      </c>
      <c r="BK21" s="3">
        <v>3700</v>
      </c>
      <c r="BL21" s="3">
        <v>3695</v>
      </c>
      <c r="BM21" s="3">
        <v>3690</v>
      </c>
      <c r="BN21" s="3">
        <v>3684</v>
      </c>
    </row>
    <row r="22" spans="2:66" x14ac:dyDescent="0.35">
      <c r="B22">
        <v>35</v>
      </c>
      <c r="C22" s="3">
        <v>4038</v>
      </c>
      <c r="D22" s="3">
        <v>4030</v>
      </c>
      <c r="E22" s="3">
        <v>4021</v>
      </c>
      <c r="F22" s="3">
        <v>4013</v>
      </c>
      <c r="G22" s="3">
        <v>4004</v>
      </c>
      <c r="H22" s="3">
        <v>3995</v>
      </c>
      <c r="I22" s="3">
        <v>3986</v>
      </c>
      <c r="J22" s="3">
        <v>3977</v>
      </c>
      <c r="K22" s="3">
        <v>3967</v>
      </c>
      <c r="L22" s="3">
        <v>3958</v>
      </c>
      <c r="M22" s="3">
        <v>3949</v>
      </c>
      <c r="N22" s="3">
        <v>3939</v>
      </c>
      <c r="O22" s="3">
        <v>3929</v>
      </c>
      <c r="P22" s="3">
        <v>3920</v>
      </c>
      <c r="Q22" s="3">
        <v>3910</v>
      </c>
      <c r="R22" s="3">
        <v>3900</v>
      </c>
      <c r="S22" s="3">
        <v>3891</v>
      </c>
      <c r="T22" s="3">
        <v>3881</v>
      </c>
      <c r="U22" s="3">
        <v>3871</v>
      </c>
      <c r="V22" s="3">
        <v>3861</v>
      </c>
      <c r="W22" s="3">
        <v>3852</v>
      </c>
      <c r="X22" s="3">
        <v>3842</v>
      </c>
      <c r="Y22" s="3">
        <v>3833</v>
      </c>
      <c r="Z22" s="3">
        <v>3823</v>
      </c>
      <c r="AA22" s="3">
        <v>3814</v>
      </c>
      <c r="AB22" s="3">
        <v>3804</v>
      </c>
      <c r="AC22" s="3">
        <v>3795</v>
      </c>
      <c r="AD22" s="3">
        <v>3786</v>
      </c>
      <c r="AE22" s="3">
        <v>3777</v>
      </c>
      <c r="AF22" s="3">
        <v>3768</v>
      </c>
      <c r="AG22" s="3">
        <v>3761</v>
      </c>
      <c r="AH22" s="3">
        <v>3755</v>
      </c>
      <c r="AI22" s="3">
        <v>3748</v>
      </c>
      <c r="AJ22" s="3">
        <v>3742</v>
      </c>
      <c r="AK22" s="3">
        <v>3736</v>
      </c>
      <c r="AL22" s="3">
        <v>3729</v>
      </c>
      <c r="AM22" s="3">
        <v>3723</v>
      </c>
      <c r="AN22" s="3">
        <v>3717</v>
      </c>
      <c r="AO22" s="3">
        <v>3711</v>
      </c>
      <c r="AP22" s="3">
        <v>3706</v>
      </c>
      <c r="AQ22" s="3">
        <v>3700</v>
      </c>
      <c r="AR22" s="3">
        <v>3694</v>
      </c>
      <c r="AS22" s="3">
        <v>3688</v>
      </c>
      <c r="AT22" s="3">
        <v>3683</v>
      </c>
      <c r="AU22" s="3">
        <v>3677</v>
      </c>
      <c r="AV22" s="3">
        <v>3672</v>
      </c>
      <c r="AW22" s="3">
        <v>3666</v>
      </c>
      <c r="AX22" s="3">
        <v>3661</v>
      </c>
      <c r="AY22" s="3">
        <v>3656</v>
      </c>
      <c r="AZ22" s="3">
        <v>3650</v>
      </c>
      <c r="BA22" s="3">
        <v>3645</v>
      </c>
      <c r="BB22" s="3">
        <v>3640</v>
      </c>
      <c r="BC22" s="3">
        <v>3635</v>
      </c>
      <c r="BD22" s="3">
        <v>3630</v>
      </c>
      <c r="BE22" s="3">
        <v>3624</v>
      </c>
      <c r="BF22" s="3">
        <v>3619</v>
      </c>
      <c r="BG22" s="3">
        <v>3614</v>
      </c>
      <c r="BH22" s="3">
        <v>3609</v>
      </c>
      <c r="BI22" s="3">
        <v>3603</v>
      </c>
      <c r="BJ22" s="3">
        <v>3598</v>
      </c>
      <c r="BK22" s="3">
        <v>3593</v>
      </c>
      <c r="BL22" s="3">
        <v>3588</v>
      </c>
      <c r="BM22" s="3">
        <v>3583</v>
      </c>
      <c r="BN22" s="3">
        <v>3577</v>
      </c>
    </row>
    <row r="23" spans="2:66" x14ac:dyDescent="0.35">
      <c r="B23">
        <v>36</v>
      </c>
      <c r="C23" s="3">
        <v>3934</v>
      </c>
      <c r="D23" s="3">
        <v>3926</v>
      </c>
      <c r="E23" s="3">
        <v>3918</v>
      </c>
      <c r="F23" s="3">
        <v>3909</v>
      </c>
      <c r="G23" s="3">
        <v>3901</v>
      </c>
      <c r="H23" s="3">
        <v>3892</v>
      </c>
      <c r="I23" s="3">
        <v>3883</v>
      </c>
      <c r="J23" s="3">
        <v>3874</v>
      </c>
      <c r="K23" s="3">
        <v>3865</v>
      </c>
      <c r="L23" s="3">
        <v>3856</v>
      </c>
      <c r="M23" s="3">
        <v>3847</v>
      </c>
      <c r="N23" s="3">
        <v>3837</v>
      </c>
      <c r="O23" s="3">
        <v>3828</v>
      </c>
      <c r="P23" s="3">
        <v>3818</v>
      </c>
      <c r="Q23" s="3">
        <v>3809</v>
      </c>
      <c r="R23" s="3">
        <v>3799</v>
      </c>
      <c r="S23" s="3">
        <v>3789</v>
      </c>
      <c r="T23" s="3">
        <v>3780</v>
      </c>
      <c r="U23" s="3">
        <v>3770</v>
      </c>
      <c r="V23" s="3">
        <v>3761</v>
      </c>
      <c r="W23" s="3">
        <v>3751</v>
      </c>
      <c r="X23" s="3">
        <v>3742</v>
      </c>
      <c r="Y23" s="3">
        <v>3732</v>
      </c>
      <c r="Z23" s="3">
        <v>3723</v>
      </c>
      <c r="AA23" s="3">
        <v>3713</v>
      </c>
      <c r="AB23" s="3">
        <v>3704</v>
      </c>
      <c r="AC23" s="3">
        <v>3695</v>
      </c>
      <c r="AD23" s="3">
        <v>3686</v>
      </c>
      <c r="AE23" s="3">
        <v>3677</v>
      </c>
      <c r="AF23" s="3">
        <v>3670</v>
      </c>
      <c r="AG23" s="3">
        <v>3664</v>
      </c>
      <c r="AH23" s="3">
        <v>3657</v>
      </c>
      <c r="AI23" s="3">
        <v>3651</v>
      </c>
      <c r="AJ23" s="3">
        <v>3645</v>
      </c>
      <c r="AK23" s="3">
        <v>3638</v>
      </c>
      <c r="AL23" s="3">
        <v>3632</v>
      </c>
      <c r="AM23" s="3">
        <v>3626</v>
      </c>
      <c r="AN23" s="3">
        <v>3621</v>
      </c>
      <c r="AO23" s="3">
        <v>3615</v>
      </c>
      <c r="AP23" s="3">
        <v>3609</v>
      </c>
      <c r="AQ23" s="3">
        <v>3603</v>
      </c>
      <c r="AR23" s="3">
        <v>3598</v>
      </c>
      <c r="AS23" s="3">
        <v>3592</v>
      </c>
      <c r="AT23" s="3">
        <v>3587</v>
      </c>
      <c r="AU23" s="3">
        <v>3581</v>
      </c>
      <c r="AV23" s="3">
        <v>3576</v>
      </c>
      <c r="AW23" s="3">
        <v>3570</v>
      </c>
      <c r="AX23" s="3">
        <v>3565</v>
      </c>
      <c r="AY23" s="3">
        <v>3560</v>
      </c>
      <c r="AZ23" s="3">
        <v>3555</v>
      </c>
      <c r="BA23" s="3">
        <v>3550</v>
      </c>
      <c r="BB23" s="3">
        <v>3545</v>
      </c>
      <c r="BC23" s="3">
        <v>3539</v>
      </c>
      <c r="BD23" s="3">
        <v>3534</v>
      </c>
      <c r="BE23" s="3">
        <v>3529</v>
      </c>
      <c r="BF23" s="3">
        <v>3524</v>
      </c>
      <c r="BG23" s="3">
        <v>3519</v>
      </c>
      <c r="BH23" s="3">
        <v>3514</v>
      </c>
      <c r="BI23" s="3">
        <v>3508</v>
      </c>
      <c r="BJ23" s="3">
        <v>3503</v>
      </c>
      <c r="BK23" s="3">
        <v>3498</v>
      </c>
      <c r="BL23" s="3">
        <v>3493</v>
      </c>
      <c r="BM23" s="3">
        <v>3488</v>
      </c>
      <c r="BN23" s="3">
        <v>3483</v>
      </c>
    </row>
    <row r="24" spans="2:66" x14ac:dyDescent="0.35">
      <c r="B24">
        <v>37</v>
      </c>
      <c r="C24" s="3">
        <v>3846</v>
      </c>
      <c r="D24" s="3">
        <v>3838</v>
      </c>
      <c r="E24" s="3">
        <v>3830</v>
      </c>
      <c r="F24" s="3">
        <v>3822</v>
      </c>
      <c r="G24" s="3">
        <v>3814</v>
      </c>
      <c r="H24" s="3">
        <v>3805</v>
      </c>
      <c r="I24" s="3">
        <v>3796</v>
      </c>
      <c r="J24" s="3">
        <v>3787</v>
      </c>
      <c r="K24" s="3">
        <v>3778</v>
      </c>
      <c r="L24" s="3">
        <v>3769</v>
      </c>
      <c r="M24" s="3">
        <v>3760</v>
      </c>
      <c r="N24" s="3">
        <v>3751</v>
      </c>
      <c r="O24" s="3">
        <v>3741</v>
      </c>
      <c r="P24" s="3">
        <v>3732</v>
      </c>
      <c r="Q24" s="3">
        <v>3722</v>
      </c>
      <c r="R24" s="3">
        <v>3713</v>
      </c>
      <c r="S24" s="3">
        <v>3703</v>
      </c>
      <c r="T24" s="3">
        <v>3693</v>
      </c>
      <c r="U24" s="3">
        <v>3684</v>
      </c>
      <c r="V24" s="3">
        <v>3674</v>
      </c>
      <c r="W24" s="3">
        <v>3665</v>
      </c>
      <c r="X24" s="3">
        <v>3655</v>
      </c>
      <c r="Y24" s="3">
        <v>3646</v>
      </c>
      <c r="Z24" s="3">
        <v>3637</v>
      </c>
      <c r="AA24" s="3">
        <v>3627</v>
      </c>
      <c r="AB24" s="3">
        <v>3618</v>
      </c>
      <c r="AC24" s="3">
        <v>3609</v>
      </c>
      <c r="AD24" s="3">
        <v>3600</v>
      </c>
      <c r="AE24" s="3">
        <v>3593</v>
      </c>
      <c r="AF24" s="3">
        <v>3586</v>
      </c>
      <c r="AG24" s="3">
        <v>3580</v>
      </c>
      <c r="AH24" s="3">
        <v>3573</v>
      </c>
      <c r="AI24" s="3">
        <v>3567</v>
      </c>
      <c r="AJ24" s="3">
        <v>3561</v>
      </c>
      <c r="AK24" s="3">
        <v>3555</v>
      </c>
      <c r="AL24" s="3">
        <v>3549</v>
      </c>
      <c r="AM24" s="3">
        <v>3543</v>
      </c>
      <c r="AN24" s="3">
        <v>3537</v>
      </c>
      <c r="AO24" s="3">
        <v>3531</v>
      </c>
      <c r="AP24" s="3">
        <v>3525</v>
      </c>
      <c r="AQ24" s="3">
        <v>3520</v>
      </c>
      <c r="AR24" s="3">
        <v>3514</v>
      </c>
      <c r="AS24" s="3">
        <v>3508</v>
      </c>
      <c r="AT24" s="3">
        <v>3503</v>
      </c>
      <c r="AU24" s="3">
        <v>3498</v>
      </c>
      <c r="AV24" s="3">
        <v>3492</v>
      </c>
      <c r="AW24" s="3">
        <v>3487</v>
      </c>
      <c r="AX24" s="3">
        <v>3482</v>
      </c>
      <c r="AY24" s="3">
        <v>3477</v>
      </c>
      <c r="AZ24" s="3">
        <v>3471</v>
      </c>
      <c r="BA24" s="3">
        <v>3466</v>
      </c>
      <c r="BB24" s="3">
        <v>3461</v>
      </c>
      <c r="BC24" s="3">
        <v>3456</v>
      </c>
      <c r="BD24" s="3">
        <v>3451</v>
      </c>
      <c r="BE24" s="3">
        <v>3446</v>
      </c>
      <c r="BF24" s="3">
        <v>3441</v>
      </c>
      <c r="BG24" s="3">
        <v>3436</v>
      </c>
      <c r="BH24" s="3">
        <v>3431</v>
      </c>
      <c r="BI24" s="3">
        <v>3425</v>
      </c>
      <c r="BJ24" s="3">
        <v>3420</v>
      </c>
      <c r="BK24" s="3">
        <v>3415</v>
      </c>
      <c r="BL24" s="3">
        <v>3410</v>
      </c>
      <c r="BM24" s="3">
        <v>3405</v>
      </c>
      <c r="BN24" s="3">
        <v>3400</v>
      </c>
    </row>
    <row r="25" spans="2:66" x14ac:dyDescent="0.35">
      <c r="B25">
        <v>38</v>
      </c>
      <c r="C25" s="3">
        <v>3773</v>
      </c>
      <c r="D25" s="3">
        <v>3765</v>
      </c>
      <c r="E25" s="3">
        <v>3757</v>
      </c>
      <c r="F25" s="3">
        <v>3749</v>
      </c>
      <c r="G25" s="3">
        <v>3740</v>
      </c>
      <c r="H25" s="3">
        <v>3732</v>
      </c>
      <c r="I25" s="3">
        <v>3723</v>
      </c>
      <c r="J25" s="3">
        <v>3714</v>
      </c>
      <c r="K25" s="3">
        <v>3705</v>
      </c>
      <c r="L25" s="3">
        <v>3696</v>
      </c>
      <c r="M25" s="3">
        <v>3687</v>
      </c>
      <c r="N25" s="3">
        <v>3677</v>
      </c>
      <c r="O25" s="3">
        <v>3668</v>
      </c>
      <c r="P25" s="3">
        <v>3658</v>
      </c>
      <c r="Q25" s="3">
        <v>3649</v>
      </c>
      <c r="R25" s="3">
        <v>3639</v>
      </c>
      <c r="S25" s="3">
        <v>3630</v>
      </c>
      <c r="T25" s="3">
        <v>3620</v>
      </c>
      <c r="U25" s="3">
        <v>3610</v>
      </c>
      <c r="V25" s="3">
        <v>3601</v>
      </c>
      <c r="W25" s="3">
        <v>3591</v>
      </c>
      <c r="X25" s="3">
        <v>3582</v>
      </c>
      <c r="Y25" s="3">
        <v>3572</v>
      </c>
      <c r="Z25" s="3">
        <v>3563</v>
      </c>
      <c r="AA25" s="3">
        <v>3553</v>
      </c>
      <c r="AB25" s="3">
        <v>3544</v>
      </c>
      <c r="AC25" s="3">
        <v>3535</v>
      </c>
      <c r="AD25" s="3">
        <v>3528</v>
      </c>
      <c r="AE25" s="3">
        <v>3521</v>
      </c>
      <c r="AF25" s="3">
        <v>3514</v>
      </c>
      <c r="AG25" s="3">
        <v>3508</v>
      </c>
      <c r="AH25" s="3">
        <v>3501</v>
      </c>
      <c r="AI25" s="3">
        <v>3495</v>
      </c>
      <c r="AJ25" s="3">
        <v>3489</v>
      </c>
      <c r="AK25" s="3">
        <v>3483</v>
      </c>
      <c r="AL25" s="3">
        <v>3477</v>
      </c>
      <c r="AM25" s="3">
        <v>3471</v>
      </c>
      <c r="AN25" s="3">
        <v>3465</v>
      </c>
      <c r="AO25" s="3">
        <v>3459</v>
      </c>
      <c r="AP25" s="3">
        <v>3453</v>
      </c>
      <c r="AQ25" s="3">
        <v>3447</v>
      </c>
      <c r="AR25" s="3">
        <v>3442</v>
      </c>
      <c r="AS25" s="3">
        <v>3436</v>
      </c>
      <c r="AT25" s="3">
        <v>3431</v>
      </c>
      <c r="AU25" s="3">
        <v>3425</v>
      </c>
      <c r="AV25" s="3">
        <v>3420</v>
      </c>
      <c r="AW25" s="3">
        <v>3415</v>
      </c>
      <c r="AX25" s="3">
        <v>3410</v>
      </c>
      <c r="AY25" s="3">
        <v>3404</v>
      </c>
      <c r="AZ25" s="3">
        <v>3399</v>
      </c>
      <c r="BA25" s="3">
        <v>3394</v>
      </c>
      <c r="BB25" s="3">
        <v>3389</v>
      </c>
      <c r="BC25" s="3">
        <v>3384</v>
      </c>
      <c r="BD25" s="3">
        <v>3379</v>
      </c>
      <c r="BE25" s="3">
        <v>3374</v>
      </c>
      <c r="BF25" s="3">
        <v>3369</v>
      </c>
      <c r="BG25" s="3">
        <v>3364</v>
      </c>
      <c r="BH25" s="3">
        <v>3359</v>
      </c>
      <c r="BI25" s="3">
        <v>3353</v>
      </c>
      <c r="BJ25" s="3">
        <v>3348</v>
      </c>
      <c r="BK25" s="3">
        <v>3343</v>
      </c>
      <c r="BL25" s="3">
        <v>3337</v>
      </c>
      <c r="BM25" s="3">
        <v>3332</v>
      </c>
      <c r="BN25" s="3">
        <v>3327</v>
      </c>
    </row>
    <row r="26" spans="2:66" x14ac:dyDescent="0.35">
      <c r="B26">
        <v>39</v>
      </c>
      <c r="C26" s="3">
        <v>3712</v>
      </c>
      <c r="D26" s="3">
        <v>3705</v>
      </c>
      <c r="E26" s="3">
        <v>3696</v>
      </c>
      <c r="F26" s="3">
        <v>3688</v>
      </c>
      <c r="G26" s="3">
        <v>3680</v>
      </c>
      <c r="H26" s="3">
        <v>3671</v>
      </c>
      <c r="I26" s="3">
        <v>3662</v>
      </c>
      <c r="J26" s="3">
        <v>3653</v>
      </c>
      <c r="K26" s="3">
        <v>3644</v>
      </c>
      <c r="L26" s="3">
        <v>3635</v>
      </c>
      <c r="M26" s="3">
        <v>3625</v>
      </c>
      <c r="N26" s="3">
        <v>3616</v>
      </c>
      <c r="O26" s="3">
        <v>3606</v>
      </c>
      <c r="P26" s="3">
        <v>3597</v>
      </c>
      <c r="Q26" s="3">
        <v>3587</v>
      </c>
      <c r="R26" s="3">
        <v>3577</v>
      </c>
      <c r="S26" s="3">
        <v>3568</v>
      </c>
      <c r="T26" s="3">
        <v>3558</v>
      </c>
      <c r="U26" s="3">
        <v>3548</v>
      </c>
      <c r="V26" s="3">
        <v>3538</v>
      </c>
      <c r="W26" s="3">
        <v>3529</v>
      </c>
      <c r="X26" s="3">
        <v>3519</v>
      </c>
      <c r="Y26" s="3">
        <v>3510</v>
      </c>
      <c r="Z26" s="3">
        <v>3500</v>
      </c>
      <c r="AA26" s="3">
        <v>3491</v>
      </c>
      <c r="AB26" s="3">
        <v>3481</v>
      </c>
      <c r="AC26" s="3">
        <v>3474</v>
      </c>
      <c r="AD26" s="3">
        <v>3467</v>
      </c>
      <c r="AE26" s="3">
        <v>3460</v>
      </c>
      <c r="AF26" s="3">
        <v>3453</v>
      </c>
      <c r="AG26" s="3">
        <v>3447</v>
      </c>
      <c r="AH26" s="3">
        <v>3440</v>
      </c>
      <c r="AI26" s="3">
        <v>3434</v>
      </c>
      <c r="AJ26" s="3">
        <v>3427</v>
      </c>
      <c r="AK26" s="3">
        <v>3421</v>
      </c>
      <c r="AL26" s="3">
        <v>3415</v>
      </c>
      <c r="AM26" s="3">
        <v>3409</v>
      </c>
      <c r="AN26" s="3">
        <v>3403</v>
      </c>
      <c r="AO26" s="3">
        <v>3397</v>
      </c>
      <c r="AP26" s="3">
        <v>3391</v>
      </c>
      <c r="AQ26" s="3">
        <v>3385</v>
      </c>
      <c r="AR26" s="3">
        <v>3380</v>
      </c>
      <c r="AS26" s="3">
        <v>3374</v>
      </c>
      <c r="AT26" s="3">
        <v>3369</v>
      </c>
      <c r="AU26" s="3">
        <v>3363</v>
      </c>
      <c r="AV26" s="3">
        <v>3358</v>
      </c>
      <c r="AW26" s="3">
        <v>3352</v>
      </c>
      <c r="AX26" s="3">
        <v>3347</v>
      </c>
      <c r="AY26" s="3">
        <v>3342</v>
      </c>
      <c r="AZ26" s="3">
        <v>3337</v>
      </c>
      <c r="BA26" s="3">
        <v>3331</v>
      </c>
      <c r="BB26" s="3">
        <v>3326</v>
      </c>
      <c r="BC26" s="3">
        <v>3321</v>
      </c>
      <c r="BD26" s="3">
        <v>3316</v>
      </c>
      <c r="BE26" s="3">
        <v>3311</v>
      </c>
      <c r="BF26" s="3">
        <v>3306</v>
      </c>
      <c r="BG26" s="3">
        <v>3301</v>
      </c>
      <c r="BH26" s="3">
        <v>3296</v>
      </c>
      <c r="BI26" s="3">
        <v>3290</v>
      </c>
      <c r="BJ26" s="3">
        <v>3285</v>
      </c>
      <c r="BK26" s="3">
        <v>3280</v>
      </c>
      <c r="BL26" s="3">
        <v>3274</v>
      </c>
      <c r="BM26" s="3">
        <v>3269</v>
      </c>
      <c r="BN26" s="3">
        <v>3264</v>
      </c>
    </row>
    <row r="27" spans="2:66" x14ac:dyDescent="0.35">
      <c r="B27">
        <v>40</v>
      </c>
      <c r="C27" s="3">
        <v>3664</v>
      </c>
      <c r="D27" s="3">
        <v>3656</v>
      </c>
      <c r="E27" s="3">
        <v>3648</v>
      </c>
      <c r="F27" s="3">
        <v>3639</v>
      </c>
      <c r="G27" s="3">
        <v>3630</v>
      </c>
      <c r="H27" s="3">
        <v>3622</v>
      </c>
      <c r="I27" s="3">
        <v>3613</v>
      </c>
      <c r="J27" s="3">
        <v>3603</v>
      </c>
      <c r="K27" s="3">
        <v>3594</v>
      </c>
      <c r="L27" s="3">
        <v>3585</v>
      </c>
      <c r="M27" s="3">
        <v>3575</v>
      </c>
      <c r="N27" s="3">
        <v>3565</v>
      </c>
      <c r="O27" s="3">
        <v>3556</v>
      </c>
      <c r="P27" s="3">
        <v>3546</v>
      </c>
      <c r="Q27" s="3">
        <v>3536</v>
      </c>
      <c r="R27" s="3">
        <v>3526</v>
      </c>
      <c r="S27" s="3">
        <v>3516</v>
      </c>
      <c r="T27" s="3">
        <v>3506</v>
      </c>
      <c r="U27" s="3">
        <v>3496</v>
      </c>
      <c r="V27" s="3">
        <v>3487</v>
      </c>
      <c r="W27" s="3">
        <v>3477</v>
      </c>
      <c r="X27" s="3">
        <v>3467</v>
      </c>
      <c r="Y27" s="3">
        <v>3457</v>
      </c>
      <c r="Z27" s="3">
        <v>3448</v>
      </c>
      <c r="AA27" s="3">
        <v>3438</v>
      </c>
      <c r="AB27" s="3">
        <v>3430</v>
      </c>
      <c r="AC27" s="3">
        <v>3423</v>
      </c>
      <c r="AD27" s="3">
        <v>3416</v>
      </c>
      <c r="AE27" s="3">
        <v>3409</v>
      </c>
      <c r="AF27" s="3">
        <v>3402</v>
      </c>
      <c r="AG27" s="3">
        <v>3395</v>
      </c>
      <c r="AH27" s="3">
        <v>3388</v>
      </c>
      <c r="AI27" s="3">
        <v>3382</v>
      </c>
      <c r="AJ27" s="3">
        <v>3375</v>
      </c>
      <c r="AK27" s="3">
        <v>3369</v>
      </c>
      <c r="AL27" s="3">
        <v>3363</v>
      </c>
      <c r="AM27" s="3">
        <v>3357</v>
      </c>
      <c r="AN27" s="3">
        <v>3350</v>
      </c>
      <c r="AO27" s="3">
        <v>3344</v>
      </c>
      <c r="AP27" s="3">
        <v>3339</v>
      </c>
      <c r="AQ27" s="3">
        <v>3333</v>
      </c>
      <c r="AR27" s="3">
        <v>3327</v>
      </c>
      <c r="AS27" s="3">
        <v>3321</v>
      </c>
      <c r="AT27" s="3">
        <v>3316</v>
      </c>
      <c r="AU27" s="3">
        <v>3310</v>
      </c>
      <c r="AV27" s="3">
        <v>3305</v>
      </c>
      <c r="AW27" s="3">
        <v>3299</v>
      </c>
      <c r="AX27" s="3">
        <v>3294</v>
      </c>
      <c r="AY27" s="3">
        <v>3288</v>
      </c>
      <c r="AZ27" s="3">
        <v>3283</v>
      </c>
      <c r="BA27" s="3">
        <v>3278</v>
      </c>
      <c r="BB27" s="3">
        <v>3273</v>
      </c>
      <c r="BC27" s="3">
        <v>3267</v>
      </c>
      <c r="BD27" s="3">
        <v>3262</v>
      </c>
      <c r="BE27" s="3">
        <v>3257</v>
      </c>
      <c r="BF27" s="3">
        <v>3252</v>
      </c>
      <c r="BG27" s="3">
        <v>3247</v>
      </c>
      <c r="BH27" s="3">
        <v>3242</v>
      </c>
      <c r="BI27" s="3">
        <v>3236</v>
      </c>
      <c r="BJ27" s="3">
        <v>3230</v>
      </c>
      <c r="BK27" s="3">
        <v>3225</v>
      </c>
      <c r="BL27" s="3">
        <v>3220</v>
      </c>
      <c r="BM27" s="3">
        <v>3215</v>
      </c>
      <c r="BN27" s="3">
        <v>3209</v>
      </c>
    </row>
    <row r="28" spans="2:66" x14ac:dyDescent="0.35">
      <c r="B28">
        <v>41</v>
      </c>
      <c r="C28" s="3">
        <v>3626</v>
      </c>
      <c r="D28" s="3">
        <v>3618</v>
      </c>
      <c r="E28" s="3">
        <v>3609</v>
      </c>
      <c r="F28" s="3">
        <v>3601</v>
      </c>
      <c r="G28" s="3">
        <v>3592</v>
      </c>
      <c r="H28" s="3">
        <v>3583</v>
      </c>
      <c r="I28" s="3">
        <v>3573</v>
      </c>
      <c r="J28" s="3">
        <v>3564</v>
      </c>
      <c r="K28" s="3">
        <v>3554</v>
      </c>
      <c r="L28" s="3">
        <v>3545</v>
      </c>
      <c r="M28" s="3">
        <v>3535</v>
      </c>
      <c r="N28" s="3">
        <v>3525</v>
      </c>
      <c r="O28" s="3">
        <v>3515</v>
      </c>
      <c r="P28" s="3">
        <v>3505</v>
      </c>
      <c r="Q28" s="3">
        <v>3495</v>
      </c>
      <c r="R28" s="3">
        <v>3485</v>
      </c>
      <c r="S28" s="3">
        <v>3475</v>
      </c>
      <c r="T28" s="3">
        <v>3465</v>
      </c>
      <c r="U28" s="3">
        <v>3454</v>
      </c>
      <c r="V28" s="3">
        <v>3444</v>
      </c>
      <c r="W28" s="3">
        <v>3434</v>
      </c>
      <c r="X28" s="3">
        <v>3424</v>
      </c>
      <c r="Y28" s="3">
        <v>3414</v>
      </c>
      <c r="Z28" s="3">
        <v>3404</v>
      </c>
      <c r="AA28" s="3">
        <v>3396</v>
      </c>
      <c r="AB28" s="3">
        <v>3389</v>
      </c>
      <c r="AC28" s="3">
        <v>3381</v>
      </c>
      <c r="AD28" s="3">
        <v>3374</v>
      </c>
      <c r="AE28" s="3">
        <v>3367</v>
      </c>
      <c r="AF28" s="3">
        <v>3360</v>
      </c>
      <c r="AG28" s="3">
        <v>3353</v>
      </c>
      <c r="AH28" s="3">
        <v>3346</v>
      </c>
      <c r="AI28" s="3">
        <v>3339</v>
      </c>
      <c r="AJ28" s="3">
        <v>3332</v>
      </c>
      <c r="AK28" s="3">
        <v>3326</v>
      </c>
      <c r="AL28" s="3">
        <v>3319</v>
      </c>
      <c r="AM28" s="3">
        <v>3313</v>
      </c>
      <c r="AN28" s="3">
        <v>3307</v>
      </c>
      <c r="AO28" s="3">
        <v>3301</v>
      </c>
      <c r="AP28" s="3">
        <v>3295</v>
      </c>
      <c r="AQ28" s="3">
        <v>3289</v>
      </c>
      <c r="AR28" s="3">
        <v>3283</v>
      </c>
      <c r="AS28" s="3">
        <v>3277</v>
      </c>
      <c r="AT28" s="3">
        <v>3271</v>
      </c>
      <c r="AU28" s="3">
        <v>3266</v>
      </c>
      <c r="AV28" s="3">
        <v>3260</v>
      </c>
      <c r="AW28" s="3">
        <v>3254</v>
      </c>
      <c r="AX28" s="3">
        <v>3249</v>
      </c>
      <c r="AY28" s="3">
        <v>3243</v>
      </c>
      <c r="AZ28" s="3">
        <v>3238</v>
      </c>
      <c r="BA28" s="3">
        <v>3233</v>
      </c>
      <c r="BB28" s="3">
        <v>3227</v>
      </c>
      <c r="BC28" s="3">
        <v>3222</v>
      </c>
      <c r="BD28" s="3">
        <v>3217</v>
      </c>
      <c r="BE28" s="3">
        <v>3211</v>
      </c>
      <c r="BF28" s="3">
        <v>3206</v>
      </c>
      <c r="BG28" s="3">
        <v>3201</v>
      </c>
      <c r="BH28" s="3">
        <v>3196</v>
      </c>
      <c r="BI28" s="3">
        <v>3189</v>
      </c>
      <c r="BJ28" s="3">
        <v>3184</v>
      </c>
      <c r="BK28" s="3">
        <v>3179</v>
      </c>
      <c r="BL28" s="3">
        <v>3173</v>
      </c>
      <c r="BM28" s="3">
        <v>3168</v>
      </c>
      <c r="BN28" s="3">
        <v>3163</v>
      </c>
    </row>
    <row r="29" spans="2:66" x14ac:dyDescent="0.35">
      <c r="B29">
        <v>42</v>
      </c>
      <c r="C29" s="3">
        <v>3598</v>
      </c>
      <c r="D29" s="3">
        <v>3590</v>
      </c>
      <c r="E29" s="3">
        <v>3581</v>
      </c>
      <c r="F29" s="3">
        <v>3572</v>
      </c>
      <c r="G29" s="3">
        <v>3563</v>
      </c>
      <c r="H29" s="3">
        <v>3553</v>
      </c>
      <c r="I29" s="3">
        <v>3544</v>
      </c>
      <c r="J29" s="3">
        <v>3534</v>
      </c>
      <c r="K29" s="3">
        <v>3524</v>
      </c>
      <c r="L29" s="3">
        <v>3514</v>
      </c>
      <c r="M29" s="3">
        <v>3504</v>
      </c>
      <c r="N29" s="3">
        <v>3494</v>
      </c>
      <c r="O29" s="3">
        <v>3484</v>
      </c>
      <c r="P29" s="3">
        <v>3473</v>
      </c>
      <c r="Q29" s="3">
        <v>3463</v>
      </c>
      <c r="R29" s="3">
        <v>3452</v>
      </c>
      <c r="S29" s="3">
        <v>3442</v>
      </c>
      <c r="T29" s="3">
        <v>3431</v>
      </c>
      <c r="U29" s="3">
        <v>3421</v>
      </c>
      <c r="V29" s="3">
        <v>3411</v>
      </c>
      <c r="W29" s="3">
        <v>3400</v>
      </c>
      <c r="X29" s="3">
        <v>3390</v>
      </c>
      <c r="Y29" s="3">
        <v>3380</v>
      </c>
      <c r="Z29" s="3">
        <v>3372</v>
      </c>
      <c r="AA29" s="3">
        <v>3363</v>
      </c>
      <c r="AB29" s="3">
        <v>3356</v>
      </c>
      <c r="AC29" s="3">
        <v>3348</v>
      </c>
      <c r="AD29" s="3">
        <v>3340</v>
      </c>
      <c r="AE29" s="3">
        <v>3333</v>
      </c>
      <c r="AF29" s="3">
        <v>3325</v>
      </c>
      <c r="AG29" s="3">
        <v>3318</v>
      </c>
      <c r="AH29" s="3">
        <v>3311</v>
      </c>
      <c r="AI29" s="3">
        <v>3304</v>
      </c>
      <c r="AJ29" s="3">
        <v>3297</v>
      </c>
      <c r="AK29" s="3">
        <v>3291</v>
      </c>
      <c r="AL29" s="3">
        <v>3284</v>
      </c>
      <c r="AM29" s="3">
        <v>3277</v>
      </c>
      <c r="AN29" s="3">
        <v>3271</v>
      </c>
      <c r="AO29" s="3">
        <v>3265</v>
      </c>
      <c r="AP29" s="3">
        <v>3259</v>
      </c>
      <c r="AQ29" s="3">
        <v>3252</v>
      </c>
      <c r="AR29" s="3">
        <v>3246</v>
      </c>
      <c r="AS29" s="3">
        <v>3240</v>
      </c>
      <c r="AT29" s="3">
        <v>3234</v>
      </c>
      <c r="AU29" s="3">
        <v>3229</v>
      </c>
      <c r="AV29" s="3">
        <v>3223</v>
      </c>
      <c r="AW29" s="3">
        <v>3217</v>
      </c>
      <c r="AX29" s="3">
        <v>3211</v>
      </c>
      <c r="AY29" s="3">
        <v>3206</v>
      </c>
      <c r="AZ29" s="3">
        <v>3200</v>
      </c>
      <c r="BA29" s="3">
        <v>3195</v>
      </c>
      <c r="BB29" s="3">
        <v>3189</v>
      </c>
      <c r="BC29" s="3">
        <v>3184</v>
      </c>
      <c r="BD29" s="3">
        <v>3178</v>
      </c>
      <c r="BE29" s="3">
        <v>3173</v>
      </c>
      <c r="BF29" s="3">
        <v>3167</v>
      </c>
      <c r="BG29" s="3">
        <v>3162</v>
      </c>
      <c r="BH29" s="3">
        <v>3157</v>
      </c>
      <c r="BI29" s="3">
        <v>3150</v>
      </c>
      <c r="BJ29" s="3">
        <v>3145</v>
      </c>
      <c r="BK29" s="3">
        <v>3139</v>
      </c>
      <c r="BL29" s="3">
        <v>3134</v>
      </c>
      <c r="BM29" s="3">
        <v>3129</v>
      </c>
      <c r="BN29" s="3">
        <v>3123</v>
      </c>
    </row>
    <row r="30" spans="2:66" x14ac:dyDescent="0.35">
      <c r="B30">
        <v>43</v>
      </c>
      <c r="C30" s="3">
        <v>3580</v>
      </c>
      <c r="D30" s="3">
        <v>3571</v>
      </c>
      <c r="E30" s="3">
        <v>3562</v>
      </c>
      <c r="F30" s="3">
        <v>3552</v>
      </c>
      <c r="G30" s="3">
        <v>3543</v>
      </c>
      <c r="H30" s="3">
        <v>3533</v>
      </c>
      <c r="I30" s="3">
        <v>3523</v>
      </c>
      <c r="J30" s="3">
        <v>3513</v>
      </c>
      <c r="K30" s="3">
        <v>3502</v>
      </c>
      <c r="L30" s="3">
        <v>3492</v>
      </c>
      <c r="M30" s="3">
        <v>3481</v>
      </c>
      <c r="N30" s="3">
        <v>3471</v>
      </c>
      <c r="O30" s="3">
        <v>3460</v>
      </c>
      <c r="P30" s="3">
        <v>3449</v>
      </c>
      <c r="Q30" s="3">
        <v>3439</v>
      </c>
      <c r="R30" s="3">
        <v>3428</v>
      </c>
      <c r="S30" s="3">
        <v>3417</v>
      </c>
      <c r="T30" s="3">
        <v>3406</v>
      </c>
      <c r="U30" s="3">
        <v>3395</v>
      </c>
      <c r="V30" s="3">
        <v>3385</v>
      </c>
      <c r="W30" s="3">
        <v>3374</v>
      </c>
      <c r="X30" s="3">
        <v>3363</v>
      </c>
      <c r="Y30" s="3">
        <v>3355</v>
      </c>
      <c r="Z30" s="3">
        <v>3346</v>
      </c>
      <c r="AA30" s="3">
        <v>3338</v>
      </c>
      <c r="AB30" s="3">
        <v>3330</v>
      </c>
      <c r="AC30" s="3">
        <v>3322</v>
      </c>
      <c r="AD30" s="3">
        <v>3314</v>
      </c>
      <c r="AE30" s="3">
        <v>3306</v>
      </c>
      <c r="AF30" s="3">
        <v>3298</v>
      </c>
      <c r="AG30" s="3">
        <v>3291</v>
      </c>
      <c r="AH30" s="3">
        <v>3284</v>
      </c>
      <c r="AI30" s="3">
        <v>3276</v>
      </c>
      <c r="AJ30" s="3">
        <v>3269</v>
      </c>
      <c r="AK30" s="3">
        <v>3262</v>
      </c>
      <c r="AL30" s="3">
        <v>3256</v>
      </c>
      <c r="AM30" s="3">
        <v>3249</v>
      </c>
      <c r="AN30" s="3">
        <v>3242</v>
      </c>
      <c r="AO30" s="3">
        <v>3236</v>
      </c>
      <c r="AP30" s="3">
        <v>3229</v>
      </c>
      <c r="AQ30" s="3">
        <v>3223</v>
      </c>
      <c r="AR30" s="3">
        <v>3217</v>
      </c>
      <c r="AS30" s="3">
        <v>3211</v>
      </c>
      <c r="AT30" s="3">
        <v>3204</v>
      </c>
      <c r="AU30" s="3">
        <v>3198</v>
      </c>
      <c r="AV30" s="3">
        <v>3192</v>
      </c>
      <c r="AW30" s="3">
        <v>3187</v>
      </c>
      <c r="AX30" s="3">
        <v>3181</v>
      </c>
      <c r="AY30" s="3">
        <v>3175</v>
      </c>
      <c r="AZ30" s="3">
        <v>3169</v>
      </c>
      <c r="BA30" s="3">
        <v>3163</v>
      </c>
      <c r="BB30" s="3">
        <v>3158</v>
      </c>
      <c r="BC30" s="3">
        <v>3152</v>
      </c>
      <c r="BD30" s="3">
        <v>3146</v>
      </c>
      <c r="BE30" s="3">
        <v>3141</v>
      </c>
      <c r="BF30" s="3">
        <v>3135</v>
      </c>
      <c r="BG30" s="3">
        <v>3130</v>
      </c>
      <c r="BH30" s="3">
        <v>3124</v>
      </c>
      <c r="BI30" s="3">
        <v>3118</v>
      </c>
      <c r="BJ30" s="3">
        <v>3112</v>
      </c>
      <c r="BK30" s="3">
        <v>3106</v>
      </c>
      <c r="BL30" s="3">
        <v>3101</v>
      </c>
      <c r="BM30" s="3">
        <v>3095</v>
      </c>
      <c r="BN30" s="3">
        <v>3090</v>
      </c>
    </row>
    <row r="31" spans="2:66" x14ac:dyDescent="0.35">
      <c r="B31">
        <v>44</v>
      </c>
      <c r="C31" s="3">
        <v>3569</v>
      </c>
      <c r="D31" s="3">
        <v>3559</v>
      </c>
      <c r="E31" s="3">
        <v>3550</v>
      </c>
      <c r="F31" s="3">
        <v>3540</v>
      </c>
      <c r="G31" s="3">
        <v>3530</v>
      </c>
      <c r="H31" s="3">
        <v>3520</v>
      </c>
      <c r="I31" s="3">
        <v>3509</v>
      </c>
      <c r="J31" s="3">
        <v>3499</v>
      </c>
      <c r="K31" s="3">
        <v>3488</v>
      </c>
      <c r="L31" s="3">
        <v>3477</v>
      </c>
      <c r="M31" s="3">
        <v>3466</v>
      </c>
      <c r="N31" s="3">
        <v>3455</v>
      </c>
      <c r="O31" s="3">
        <v>3444</v>
      </c>
      <c r="P31" s="3">
        <v>3433</v>
      </c>
      <c r="Q31" s="3">
        <v>3421</v>
      </c>
      <c r="R31" s="3">
        <v>3410</v>
      </c>
      <c r="S31" s="3">
        <v>3399</v>
      </c>
      <c r="T31" s="3">
        <v>3388</v>
      </c>
      <c r="U31" s="3">
        <v>3377</v>
      </c>
      <c r="V31" s="3">
        <v>3365</v>
      </c>
      <c r="W31" s="3">
        <v>3354</v>
      </c>
      <c r="X31" s="3">
        <v>3345</v>
      </c>
      <c r="Y31" s="3">
        <v>3336</v>
      </c>
      <c r="Z31" s="3">
        <v>3327</v>
      </c>
      <c r="AA31" s="3">
        <v>3319</v>
      </c>
      <c r="AB31" s="3">
        <v>3310</v>
      </c>
      <c r="AC31" s="3">
        <v>3302</v>
      </c>
      <c r="AD31" s="3">
        <v>3293</v>
      </c>
      <c r="AE31" s="3">
        <v>3285</v>
      </c>
      <c r="AF31" s="3">
        <v>3278</v>
      </c>
      <c r="AG31" s="3">
        <v>3270</v>
      </c>
      <c r="AH31" s="3">
        <v>3262</v>
      </c>
      <c r="AI31" s="3">
        <v>3255</v>
      </c>
      <c r="AJ31" s="3">
        <v>3247</v>
      </c>
      <c r="AK31" s="3">
        <v>3240</v>
      </c>
      <c r="AL31" s="3">
        <v>3233</v>
      </c>
      <c r="AM31" s="3">
        <v>3226</v>
      </c>
      <c r="AN31" s="3">
        <v>3219</v>
      </c>
      <c r="AO31" s="3">
        <v>3213</v>
      </c>
      <c r="AP31" s="3">
        <v>3206</v>
      </c>
      <c r="AQ31" s="3">
        <v>3199</v>
      </c>
      <c r="AR31" s="3">
        <v>3193</v>
      </c>
      <c r="AS31" s="3">
        <v>3187</v>
      </c>
      <c r="AT31" s="3">
        <v>3180</v>
      </c>
      <c r="AU31" s="3">
        <v>3174</v>
      </c>
      <c r="AV31" s="3">
        <v>3168</v>
      </c>
      <c r="AW31" s="3">
        <v>3162</v>
      </c>
      <c r="AX31" s="3">
        <v>3156</v>
      </c>
      <c r="AY31" s="3">
        <v>3150</v>
      </c>
      <c r="AZ31" s="3">
        <v>3144</v>
      </c>
      <c r="BA31" s="3">
        <v>3138</v>
      </c>
      <c r="BB31" s="3">
        <v>3132</v>
      </c>
      <c r="BC31" s="3">
        <v>3126</v>
      </c>
      <c r="BD31" s="3">
        <v>3120</v>
      </c>
      <c r="BE31" s="3">
        <v>3114</v>
      </c>
      <c r="BF31" s="3">
        <v>3109</v>
      </c>
      <c r="BG31" s="3">
        <v>3103</v>
      </c>
      <c r="BH31" s="3">
        <v>3097</v>
      </c>
      <c r="BI31" s="3">
        <v>3091</v>
      </c>
      <c r="BJ31" s="3">
        <v>3085</v>
      </c>
      <c r="BK31" s="3">
        <v>3079</v>
      </c>
      <c r="BL31" s="3">
        <v>3073</v>
      </c>
      <c r="BM31" s="3">
        <v>3067</v>
      </c>
      <c r="BN31" s="3">
        <v>3062</v>
      </c>
    </row>
    <row r="32" spans="2:66" x14ac:dyDescent="0.35">
      <c r="B32">
        <v>45</v>
      </c>
      <c r="C32" s="3">
        <v>3565</v>
      </c>
      <c r="D32" s="3">
        <v>3555</v>
      </c>
      <c r="E32" s="3">
        <v>3545</v>
      </c>
      <c r="F32" s="3">
        <v>3535</v>
      </c>
      <c r="G32" s="3">
        <v>3524</v>
      </c>
      <c r="H32" s="3">
        <v>3513</v>
      </c>
      <c r="I32" s="3">
        <v>3502</v>
      </c>
      <c r="J32" s="3">
        <v>3491</v>
      </c>
      <c r="K32" s="3">
        <v>3480</v>
      </c>
      <c r="L32" s="3">
        <v>3469</v>
      </c>
      <c r="M32" s="3">
        <v>3457</v>
      </c>
      <c r="N32" s="3">
        <v>3446</v>
      </c>
      <c r="O32" s="3">
        <v>3434</v>
      </c>
      <c r="P32" s="3">
        <v>3422</v>
      </c>
      <c r="Q32" s="3">
        <v>3411</v>
      </c>
      <c r="R32" s="3">
        <v>3399</v>
      </c>
      <c r="S32" s="3">
        <v>3387</v>
      </c>
      <c r="T32" s="3">
        <v>3375</v>
      </c>
      <c r="U32" s="3">
        <v>3364</v>
      </c>
      <c r="V32" s="3">
        <v>3352</v>
      </c>
      <c r="W32" s="3">
        <v>3342</v>
      </c>
      <c r="X32" s="3">
        <v>3333</v>
      </c>
      <c r="Y32" s="3">
        <v>3323</v>
      </c>
      <c r="Z32" s="3">
        <v>3314</v>
      </c>
      <c r="AA32" s="3">
        <v>3305</v>
      </c>
      <c r="AB32" s="3">
        <v>3296</v>
      </c>
      <c r="AC32" s="3">
        <v>3288</v>
      </c>
      <c r="AD32" s="3">
        <v>3279</v>
      </c>
      <c r="AE32" s="3">
        <v>3271</v>
      </c>
      <c r="AF32" s="3">
        <v>3262</v>
      </c>
      <c r="AG32" s="3">
        <v>3254</v>
      </c>
      <c r="AH32" s="3">
        <v>3247</v>
      </c>
      <c r="AI32" s="3">
        <v>3239</v>
      </c>
      <c r="AJ32" s="3">
        <v>3231</v>
      </c>
      <c r="AK32" s="3">
        <v>3224</v>
      </c>
      <c r="AL32" s="3">
        <v>3216</v>
      </c>
      <c r="AM32" s="3">
        <v>3209</v>
      </c>
      <c r="AN32" s="3">
        <v>3202</v>
      </c>
      <c r="AO32" s="3">
        <v>3195</v>
      </c>
      <c r="AP32" s="3">
        <v>3188</v>
      </c>
      <c r="AQ32" s="3">
        <v>3181</v>
      </c>
      <c r="AR32" s="3">
        <v>3175</v>
      </c>
      <c r="AS32" s="3">
        <v>3168</v>
      </c>
      <c r="AT32" s="3">
        <v>3161</v>
      </c>
      <c r="AU32" s="3">
        <v>3155</v>
      </c>
      <c r="AV32" s="3">
        <v>3148</v>
      </c>
      <c r="AW32" s="3">
        <v>3142</v>
      </c>
      <c r="AX32" s="3">
        <v>3136</v>
      </c>
      <c r="AY32" s="3">
        <v>3130</v>
      </c>
      <c r="AZ32" s="3">
        <v>3123</v>
      </c>
      <c r="BA32" s="3">
        <v>3117</v>
      </c>
      <c r="BB32" s="3">
        <v>3111</v>
      </c>
      <c r="BC32" s="3">
        <v>3105</v>
      </c>
      <c r="BD32" s="3">
        <v>3099</v>
      </c>
      <c r="BE32" s="3">
        <v>3093</v>
      </c>
      <c r="BF32" s="3">
        <v>3087</v>
      </c>
      <c r="BG32" s="3">
        <v>3081</v>
      </c>
      <c r="BH32" s="3">
        <v>3075</v>
      </c>
      <c r="BI32" s="3">
        <v>3068</v>
      </c>
      <c r="BJ32" s="3">
        <v>3062</v>
      </c>
      <c r="BK32" s="3">
        <v>3056</v>
      </c>
      <c r="BL32" s="3">
        <v>3050</v>
      </c>
      <c r="BM32" s="3">
        <v>3044</v>
      </c>
      <c r="BN32" s="3">
        <v>3039</v>
      </c>
    </row>
    <row r="33" spans="2:66" x14ac:dyDescent="0.35">
      <c r="B33">
        <v>46</v>
      </c>
      <c r="C33" s="3">
        <v>3568</v>
      </c>
      <c r="D33" s="3">
        <v>3558</v>
      </c>
      <c r="E33" s="3">
        <v>3547</v>
      </c>
      <c r="F33" s="3">
        <v>3536</v>
      </c>
      <c r="G33" s="3">
        <v>3525</v>
      </c>
      <c r="H33" s="3">
        <v>3513</v>
      </c>
      <c r="I33" s="3">
        <v>3502</v>
      </c>
      <c r="J33" s="3">
        <v>3490</v>
      </c>
      <c r="K33" s="3">
        <v>3478</v>
      </c>
      <c r="L33" s="3">
        <v>3466</v>
      </c>
      <c r="M33" s="3">
        <v>3454</v>
      </c>
      <c r="N33" s="3">
        <v>3442</v>
      </c>
      <c r="O33" s="3">
        <v>3430</v>
      </c>
      <c r="P33" s="3">
        <v>3418</v>
      </c>
      <c r="Q33" s="3">
        <v>3405</v>
      </c>
      <c r="R33" s="3">
        <v>3393</v>
      </c>
      <c r="S33" s="3">
        <v>3381</v>
      </c>
      <c r="T33" s="3">
        <v>3369</v>
      </c>
      <c r="U33" s="3">
        <v>3357</v>
      </c>
      <c r="V33" s="3">
        <v>3346</v>
      </c>
      <c r="W33" s="3">
        <v>3336</v>
      </c>
      <c r="X33" s="3">
        <v>3326</v>
      </c>
      <c r="Y33" s="3">
        <v>3317</v>
      </c>
      <c r="Z33" s="3">
        <v>3307</v>
      </c>
      <c r="AA33" s="3">
        <v>3298</v>
      </c>
      <c r="AB33" s="3">
        <v>3288</v>
      </c>
      <c r="AC33" s="3">
        <v>3279</v>
      </c>
      <c r="AD33" s="3">
        <v>3271</v>
      </c>
      <c r="AE33" s="3">
        <v>3262</v>
      </c>
      <c r="AF33" s="3">
        <v>3254</v>
      </c>
      <c r="AG33" s="3">
        <v>3245</v>
      </c>
      <c r="AH33" s="3">
        <v>3237</v>
      </c>
      <c r="AI33" s="3">
        <v>3229</v>
      </c>
      <c r="AJ33" s="3">
        <v>3221</v>
      </c>
      <c r="AK33" s="3">
        <v>3214</v>
      </c>
      <c r="AL33" s="3">
        <v>3206</v>
      </c>
      <c r="AM33" s="3">
        <v>3199</v>
      </c>
      <c r="AN33" s="3">
        <v>3191</v>
      </c>
      <c r="AO33" s="3">
        <v>3184</v>
      </c>
      <c r="AP33" s="3">
        <v>3177</v>
      </c>
      <c r="AQ33" s="3">
        <v>3170</v>
      </c>
      <c r="AR33" s="3">
        <v>3163</v>
      </c>
      <c r="AS33" s="3">
        <v>3156</v>
      </c>
      <c r="AT33" s="3">
        <v>3149</v>
      </c>
      <c r="AU33" s="3">
        <v>3142</v>
      </c>
      <c r="AV33" s="3">
        <v>3136</v>
      </c>
      <c r="AW33" s="3">
        <v>3129</v>
      </c>
      <c r="AX33" s="3">
        <v>3123</v>
      </c>
      <c r="AY33" s="3">
        <v>3116</v>
      </c>
      <c r="AZ33" s="3">
        <v>3110</v>
      </c>
      <c r="BA33" s="3">
        <v>3103</v>
      </c>
      <c r="BB33" s="3">
        <v>3097</v>
      </c>
      <c r="BC33" s="3">
        <v>3091</v>
      </c>
      <c r="BD33" s="3">
        <v>3084</v>
      </c>
      <c r="BE33" s="3">
        <v>3078</v>
      </c>
      <c r="BF33" s="3">
        <v>3072</v>
      </c>
      <c r="BG33" s="3">
        <v>3066</v>
      </c>
      <c r="BH33" s="3">
        <v>3060</v>
      </c>
      <c r="BI33" s="3">
        <v>3053</v>
      </c>
      <c r="BJ33" s="3">
        <v>3046</v>
      </c>
      <c r="BK33" s="3">
        <v>3040</v>
      </c>
      <c r="BL33" s="3">
        <v>3034</v>
      </c>
      <c r="BM33" s="3">
        <v>3028</v>
      </c>
      <c r="BN33" s="3">
        <v>3022</v>
      </c>
    </row>
    <row r="34" spans="2:66" x14ac:dyDescent="0.35">
      <c r="B34">
        <v>47</v>
      </c>
      <c r="C34" s="3">
        <v>3578</v>
      </c>
      <c r="D34" s="3">
        <v>3566</v>
      </c>
      <c r="E34" s="3">
        <v>3555</v>
      </c>
      <c r="F34" s="3">
        <v>3543</v>
      </c>
      <c r="G34" s="3">
        <v>3531</v>
      </c>
      <c r="H34" s="3">
        <v>3519</v>
      </c>
      <c r="I34" s="3">
        <v>3507</v>
      </c>
      <c r="J34" s="3">
        <v>3495</v>
      </c>
      <c r="K34" s="3">
        <v>3482</v>
      </c>
      <c r="L34" s="3">
        <v>3470</v>
      </c>
      <c r="M34" s="3">
        <v>3457</v>
      </c>
      <c r="N34" s="3">
        <v>3444</v>
      </c>
      <c r="O34" s="3">
        <v>3431</v>
      </c>
      <c r="P34" s="3">
        <v>3418</v>
      </c>
      <c r="Q34" s="3">
        <v>3406</v>
      </c>
      <c r="R34" s="3">
        <v>3393</v>
      </c>
      <c r="S34" s="3">
        <v>3380</v>
      </c>
      <c r="T34" s="3">
        <v>3367</v>
      </c>
      <c r="U34" s="3">
        <v>3356</v>
      </c>
      <c r="V34" s="3">
        <v>3346</v>
      </c>
      <c r="W34" s="3">
        <v>3335</v>
      </c>
      <c r="X34" s="3">
        <v>3325</v>
      </c>
      <c r="Y34" s="3">
        <v>3315</v>
      </c>
      <c r="Z34" s="3">
        <v>3305</v>
      </c>
      <c r="AA34" s="3">
        <v>3295</v>
      </c>
      <c r="AB34" s="3">
        <v>3286</v>
      </c>
      <c r="AC34" s="3">
        <v>3276</v>
      </c>
      <c r="AD34" s="3">
        <v>3267</v>
      </c>
      <c r="AE34" s="3">
        <v>3258</v>
      </c>
      <c r="AF34" s="3">
        <v>3249</v>
      </c>
      <c r="AG34" s="3">
        <v>3241</v>
      </c>
      <c r="AH34" s="3">
        <v>3232</v>
      </c>
      <c r="AI34" s="3">
        <v>3224</v>
      </c>
      <c r="AJ34" s="3">
        <v>3216</v>
      </c>
      <c r="AK34" s="3">
        <v>3208</v>
      </c>
      <c r="AL34" s="3">
        <v>3200</v>
      </c>
      <c r="AM34" s="3">
        <v>3192</v>
      </c>
      <c r="AN34" s="3">
        <v>3185</v>
      </c>
      <c r="AO34" s="3">
        <v>3177</v>
      </c>
      <c r="AP34" s="3">
        <v>3170</v>
      </c>
      <c r="AQ34" s="3">
        <v>3163</v>
      </c>
      <c r="AR34" s="3">
        <v>3155</v>
      </c>
      <c r="AS34" s="3">
        <v>3148</v>
      </c>
      <c r="AT34" s="3">
        <v>3141</v>
      </c>
      <c r="AU34" s="3">
        <v>3134</v>
      </c>
      <c r="AV34" s="3">
        <v>3127</v>
      </c>
      <c r="AW34" s="3">
        <v>3120</v>
      </c>
      <c r="AX34" s="3">
        <v>3114</v>
      </c>
      <c r="AY34" s="3">
        <v>3107</v>
      </c>
      <c r="AZ34" s="3">
        <v>3100</v>
      </c>
      <c r="BA34" s="3">
        <v>3093</v>
      </c>
      <c r="BB34" s="3">
        <v>3087</v>
      </c>
      <c r="BC34" s="3">
        <v>3080</v>
      </c>
      <c r="BD34" s="3">
        <v>3074</v>
      </c>
      <c r="BE34" s="3">
        <v>3067</v>
      </c>
      <c r="BF34" s="3">
        <v>3061</v>
      </c>
      <c r="BG34" s="3">
        <v>3055</v>
      </c>
      <c r="BH34" s="3">
        <v>3048</v>
      </c>
      <c r="BI34" s="3">
        <v>3041</v>
      </c>
      <c r="BJ34" s="3">
        <v>3034</v>
      </c>
      <c r="BK34" s="3">
        <v>3028</v>
      </c>
      <c r="BL34" s="3">
        <v>3021</v>
      </c>
      <c r="BM34" s="3">
        <v>3015</v>
      </c>
      <c r="BN34" s="3">
        <v>3008</v>
      </c>
    </row>
    <row r="35" spans="2:66" x14ac:dyDescent="0.35">
      <c r="B35">
        <v>48</v>
      </c>
      <c r="C35" s="3">
        <v>3593</v>
      </c>
      <c r="D35" s="3">
        <v>3581</v>
      </c>
      <c r="E35" s="3">
        <v>3568</v>
      </c>
      <c r="F35" s="3">
        <v>3556</v>
      </c>
      <c r="G35" s="3">
        <v>3543</v>
      </c>
      <c r="H35" s="3">
        <v>3530</v>
      </c>
      <c r="I35" s="3">
        <v>3517</v>
      </c>
      <c r="J35" s="3">
        <v>3504</v>
      </c>
      <c r="K35" s="3">
        <v>3491</v>
      </c>
      <c r="L35" s="3">
        <v>3478</v>
      </c>
      <c r="M35" s="3">
        <v>3464</v>
      </c>
      <c r="N35" s="3">
        <v>3451</v>
      </c>
      <c r="O35" s="3">
        <v>3437</v>
      </c>
      <c r="P35" s="3">
        <v>3424</v>
      </c>
      <c r="Q35" s="3">
        <v>3410</v>
      </c>
      <c r="R35" s="3">
        <v>3397</v>
      </c>
      <c r="S35" s="3">
        <v>3383</v>
      </c>
      <c r="T35" s="3">
        <v>3372</v>
      </c>
      <c r="U35" s="3">
        <v>3361</v>
      </c>
      <c r="V35" s="3">
        <v>3349</v>
      </c>
      <c r="W35" s="3">
        <v>3338</v>
      </c>
      <c r="X35" s="3">
        <v>3328</v>
      </c>
      <c r="Y35" s="3">
        <v>3317</v>
      </c>
      <c r="Z35" s="3">
        <v>3307</v>
      </c>
      <c r="AA35" s="3">
        <v>3297</v>
      </c>
      <c r="AB35" s="3">
        <v>3287</v>
      </c>
      <c r="AC35" s="3">
        <v>3277</v>
      </c>
      <c r="AD35" s="3">
        <v>3268</v>
      </c>
      <c r="AE35" s="3">
        <v>3259</v>
      </c>
      <c r="AF35" s="3">
        <v>3250</v>
      </c>
      <c r="AG35" s="3">
        <v>3241</v>
      </c>
      <c r="AH35" s="3">
        <v>3232</v>
      </c>
      <c r="AI35" s="3">
        <v>3223</v>
      </c>
      <c r="AJ35" s="3">
        <v>3215</v>
      </c>
      <c r="AK35" s="3">
        <v>3206</v>
      </c>
      <c r="AL35" s="3">
        <v>3198</v>
      </c>
      <c r="AM35" s="3">
        <v>3190</v>
      </c>
      <c r="AN35" s="3">
        <v>3182</v>
      </c>
      <c r="AO35" s="3">
        <v>3175</v>
      </c>
      <c r="AP35" s="3">
        <v>3167</v>
      </c>
      <c r="AQ35" s="3">
        <v>3159</v>
      </c>
      <c r="AR35" s="3">
        <v>3152</v>
      </c>
      <c r="AS35" s="3">
        <v>3144</v>
      </c>
      <c r="AT35" s="3">
        <v>3137</v>
      </c>
      <c r="AU35" s="3">
        <v>3130</v>
      </c>
      <c r="AV35" s="3">
        <v>3122</v>
      </c>
      <c r="AW35" s="3">
        <v>3115</v>
      </c>
      <c r="AX35" s="3">
        <v>3108</v>
      </c>
      <c r="AY35" s="3">
        <v>3101</v>
      </c>
      <c r="AZ35" s="3">
        <v>3094</v>
      </c>
      <c r="BA35" s="3">
        <v>3087</v>
      </c>
      <c r="BB35" s="3">
        <v>3080</v>
      </c>
      <c r="BC35" s="3">
        <v>3073</v>
      </c>
      <c r="BD35" s="3">
        <v>3067</v>
      </c>
      <c r="BE35" s="3">
        <v>3060</v>
      </c>
      <c r="BF35" s="3">
        <v>3053</v>
      </c>
      <c r="BG35" s="3">
        <v>3046</v>
      </c>
      <c r="BH35" s="3">
        <v>3040</v>
      </c>
      <c r="BI35" s="3">
        <v>3032</v>
      </c>
      <c r="BJ35" s="3">
        <v>3025</v>
      </c>
      <c r="BK35" s="3">
        <v>3018</v>
      </c>
      <c r="BL35" s="3">
        <v>3012</v>
      </c>
      <c r="BM35" s="3">
        <v>3005</v>
      </c>
      <c r="BN35" s="3">
        <v>2998</v>
      </c>
    </row>
    <row r="36" spans="2:66" x14ac:dyDescent="0.35">
      <c r="B36">
        <v>49</v>
      </c>
      <c r="C36" s="3">
        <v>3613</v>
      </c>
      <c r="D36" s="3">
        <v>3600</v>
      </c>
      <c r="E36" s="3">
        <v>3587</v>
      </c>
      <c r="F36" s="3">
        <v>3573</v>
      </c>
      <c r="G36" s="3">
        <v>3560</v>
      </c>
      <c r="H36" s="3">
        <v>3546</v>
      </c>
      <c r="I36" s="3">
        <v>3532</v>
      </c>
      <c r="J36" s="3">
        <v>3519</v>
      </c>
      <c r="K36" s="3">
        <v>3504</v>
      </c>
      <c r="L36" s="3">
        <v>3490</v>
      </c>
      <c r="M36" s="3">
        <v>3476</v>
      </c>
      <c r="N36" s="3">
        <v>3462</v>
      </c>
      <c r="O36" s="3">
        <v>3448</v>
      </c>
      <c r="P36" s="3">
        <v>3434</v>
      </c>
      <c r="Q36" s="3">
        <v>3419</v>
      </c>
      <c r="R36" s="3">
        <v>3405</v>
      </c>
      <c r="S36" s="3">
        <v>3393</v>
      </c>
      <c r="T36" s="3">
        <v>3381</v>
      </c>
      <c r="U36" s="3">
        <v>3369</v>
      </c>
      <c r="V36" s="3">
        <v>3358</v>
      </c>
      <c r="W36" s="3">
        <v>3346</v>
      </c>
      <c r="X36" s="3">
        <v>3335</v>
      </c>
      <c r="Y36" s="3">
        <v>3324</v>
      </c>
      <c r="Z36" s="3">
        <v>3313</v>
      </c>
      <c r="AA36" s="3">
        <v>3303</v>
      </c>
      <c r="AB36" s="3">
        <v>3293</v>
      </c>
      <c r="AC36" s="3">
        <v>3282</v>
      </c>
      <c r="AD36" s="3">
        <v>3273</v>
      </c>
      <c r="AE36" s="3">
        <v>3263</v>
      </c>
      <c r="AF36" s="3">
        <v>3253</v>
      </c>
      <c r="AG36" s="3">
        <v>3244</v>
      </c>
      <c r="AH36" s="3">
        <v>3235</v>
      </c>
      <c r="AI36" s="3">
        <v>3226</v>
      </c>
      <c r="AJ36" s="3">
        <v>3217</v>
      </c>
      <c r="AK36" s="3">
        <v>3209</v>
      </c>
      <c r="AL36" s="3">
        <v>3200</v>
      </c>
      <c r="AM36" s="3">
        <v>3192</v>
      </c>
      <c r="AN36" s="3">
        <v>3183</v>
      </c>
      <c r="AO36" s="3">
        <v>3175</v>
      </c>
      <c r="AP36" s="3">
        <v>3167</v>
      </c>
      <c r="AQ36" s="3">
        <v>3159</v>
      </c>
      <c r="AR36" s="3">
        <v>3151</v>
      </c>
      <c r="AS36" s="3">
        <v>3144</v>
      </c>
      <c r="AT36" s="3">
        <v>3136</v>
      </c>
      <c r="AU36" s="3">
        <v>3128</v>
      </c>
      <c r="AV36" s="3">
        <v>3121</v>
      </c>
      <c r="AW36" s="3">
        <v>3113</v>
      </c>
      <c r="AX36" s="3">
        <v>3106</v>
      </c>
      <c r="AY36" s="3">
        <v>3099</v>
      </c>
      <c r="AZ36" s="3">
        <v>3091</v>
      </c>
      <c r="BA36" s="3">
        <v>3084</v>
      </c>
      <c r="BB36" s="3">
        <v>3077</v>
      </c>
      <c r="BC36" s="3">
        <v>3070</v>
      </c>
      <c r="BD36" s="3">
        <v>3063</v>
      </c>
      <c r="BE36" s="3">
        <v>3056</v>
      </c>
      <c r="BF36" s="3">
        <v>3049</v>
      </c>
      <c r="BG36" s="3">
        <v>3042</v>
      </c>
      <c r="BH36" s="3">
        <v>3035</v>
      </c>
      <c r="BI36" s="3">
        <v>3027</v>
      </c>
      <c r="BJ36" s="3">
        <v>3019</v>
      </c>
      <c r="BK36" s="3">
        <v>3012</v>
      </c>
      <c r="BL36" s="3">
        <v>3005</v>
      </c>
      <c r="BM36" s="3">
        <v>2998</v>
      </c>
      <c r="BN36" s="3">
        <v>2991</v>
      </c>
    </row>
    <row r="37" spans="2:66" x14ac:dyDescent="0.35">
      <c r="B37">
        <v>50</v>
      </c>
      <c r="C37" s="3">
        <v>3638</v>
      </c>
      <c r="D37" s="3">
        <v>3624</v>
      </c>
      <c r="E37" s="3">
        <v>3610</v>
      </c>
      <c r="F37" s="3">
        <v>3596</v>
      </c>
      <c r="G37" s="3">
        <v>3581</v>
      </c>
      <c r="H37" s="3">
        <v>3567</v>
      </c>
      <c r="I37" s="3">
        <v>3552</v>
      </c>
      <c r="J37" s="3">
        <v>3537</v>
      </c>
      <c r="K37" s="3">
        <v>3522</v>
      </c>
      <c r="L37" s="3">
        <v>3508</v>
      </c>
      <c r="M37" s="3">
        <v>3493</v>
      </c>
      <c r="N37" s="3">
        <v>3478</v>
      </c>
      <c r="O37" s="3">
        <v>3463</v>
      </c>
      <c r="P37" s="3">
        <v>3448</v>
      </c>
      <c r="Q37" s="3">
        <v>3433</v>
      </c>
      <c r="R37" s="3">
        <v>3420</v>
      </c>
      <c r="S37" s="3">
        <v>3407</v>
      </c>
      <c r="T37" s="3">
        <v>3394</v>
      </c>
      <c r="U37" s="3">
        <v>3382</v>
      </c>
      <c r="V37" s="3">
        <v>3370</v>
      </c>
      <c r="W37" s="3">
        <v>3358</v>
      </c>
      <c r="X37" s="3">
        <v>3346</v>
      </c>
      <c r="Y37" s="3">
        <v>3335</v>
      </c>
      <c r="Z37" s="3">
        <v>3324</v>
      </c>
      <c r="AA37" s="3">
        <v>3313</v>
      </c>
      <c r="AB37" s="3">
        <v>3302</v>
      </c>
      <c r="AC37" s="3">
        <v>3291</v>
      </c>
      <c r="AD37" s="3">
        <v>3281</v>
      </c>
      <c r="AE37" s="3">
        <v>3271</v>
      </c>
      <c r="AF37" s="3">
        <v>3261</v>
      </c>
      <c r="AG37" s="3">
        <v>3251</v>
      </c>
      <c r="AH37" s="3">
        <v>3242</v>
      </c>
      <c r="AI37" s="3">
        <v>3233</v>
      </c>
      <c r="AJ37" s="3">
        <v>3223</v>
      </c>
      <c r="AK37" s="3">
        <v>3214</v>
      </c>
      <c r="AL37" s="3">
        <v>3206</v>
      </c>
      <c r="AM37" s="3">
        <v>3197</v>
      </c>
      <c r="AN37" s="3">
        <v>3188</v>
      </c>
      <c r="AO37" s="3">
        <v>3180</v>
      </c>
      <c r="AP37" s="3">
        <v>3171</v>
      </c>
      <c r="AQ37" s="3">
        <v>3163</v>
      </c>
      <c r="AR37" s="3">
        <v>3155</v>
      </c>
      <c r="AS37" s="3">
        <v>3146</v>
      </c>
      <c r="AT37" s="3">
        <v>3138</v>
      </c>
      <c r="AU37" s="3">
        <v>3130</v>
      </c>
      <c r="AV37" s="3">
        <v>3123</v>
      </c>
      <c r="AW37" s="3">
        <v>3115</v>
      </c>
      <c r="AX37" s="3">
        <v>3107</v>
      </c>
      <c r="AY37" s="3">
        <v>3099</v>
      </c>
      <c r="AZ37" s="3">
        <v>3092</v>
      </c>
      <c r="BA37" s="3">
        <v>3084</v>
      </c>
      <c r="BB37" s="3">
        <v>3077</v>
      </c>
      <c r="BC37" s="3">
        <v>3069</v>
      </c>
      <c r="BD37" s="3">
        <v>3062</v>
      </c>
      <c r="BE37" s="3">
        <v>3054</v>
      </c>
      <c r="BF37" s="3">
        <v>3047</v>
      </c>
      <c r="BG37" s="3">
        <v>3040</v>
      </c>
      <c r="BH37" s="3">
        <v>3033</v>
      </c>
      <c r="BI37" s="3">
        <v>3024</v>
      </c>
      <c r="BJ37" s="3">
        <v>3017</v>
      </c>
      <c r="BK37" s="3">
        <v>3009</v>
      </c>
      <c r="BL37" s="3">
        <v>3002</v>
      </c>
      <c r="BM37" s="3">
        <v>2995</v>
      </c>
      <c r="BN37" s="3">
        <v>2987</v>
      </c>
    </row>
    <row r="38" spans="2:66" x14ac:dyDescent="0.35">
      <c r="B38">
        <v>51</v>
      </c>
      <c r="C38" s="3">
        <v>3668</v>
      </c>
      <c r="D38" s="3">
        <v>3653</v>
      </c>
      <c r="E38" s="3">
        <v>3638</v>
      </c>
      <c r="F38" s="3">
        <v>3623</v>
      </c>
      <c r="G38" s="3">
        <v>3607</v>
      </c>
      <c r="H38" s="3">
        <v>3592</v>
      </c>
      <c r="I38" s="3">
        <v>3576</v>
      </c>
      <c r="J38" s="3">
        <v>3560</v>
      </c>
      <c r="K38" s="3">
        <v>3545</v>
      </c>
      <c r="L38" s="3">
        <v>3529</v>
      </c>
      <c r="M38" s="3">
        <v>3513</v>
      </c>
      <c r="N38" s="3">
        <v>3497</v>
      </c>
      <c r="O38" s="3">
        <v>3481</v>
      </c>
      <c r="P38" s="3">
        <v>3465</v>
      </c>
      <c r="Q38" s="3">
        <v>3451</v>
      </c>
      <c r="R38" s="3">
        <v>3438</v>
      </c>
      <c r="S38" s="3">
        <v>3424</v>
      </c>
      <c r="T38" s="3">
        <v>3411</v>
      </c>
      <c r="U38" s="3">
        <v>3398</v>
      </c>
      <c r="V38" s="3">
        <v>3386</v>
      </c>
      <c r="W38" s="3">
        <v>3373</v>
      </c>
      <c r="X38" s="3">
        <v>3361</v>
      </c>
      <c r="Y38" s="3">
        <v>3349</v>
      </c>
      <c r="Z38" s="3">
        <v>3337</v>
      </c>
      <c r="AA38" s="3">
        <v>3326</v>
      </c>
      <c r="AB38" s="3">
        <v>3315</v>
      </c>
      <c r="AC38" s="3">
        <v>3304</v>
      </c>
      <c r="AD38" s="3">
        <v>3293</v>
      </c>
      <c r="AE38" s="3">
        <v>3282</v>
      </c>
      <c r="AF38" s="3">
        <v>3272</v>
      </c>
      <c r="AG38" s="3">
        <v>3262</v>
      </c>
      <c r="AH38" s="3">
        <v>3252</v>
      </c>
      <c r="AI38" s="3">
        <v>3242</v>
      </c>
      <c r="AJ38" s="3">
        <v>3233</v>
      </c>
      <c r="AK38" s="3">
        <v>3223</v>
      </c>
      <c r="AL38" s="3">
        <v>3214</v>
      </c>
      <c r="AM38" s="3">
        <v>3205</v>
      </c>
      <c r="AN38" s="3">
        <v>3196</v>
      </c>
      <c r="AO38" s="3">
        <v>3187</v>
      </c>
      <c r="AP38" s="3">
        <v>3178</v>
      </c>
      <c r="AQ38" s="3">
        <v>3169</v>
      </c>
      <c r="AR38" s="3">
        <v>3161</v>
      </c>
      <c r="AS38" s="3">
        <v>3152</v>
      </c>
      <c r="AT38" s="3">
        <v>3144</v>
      </c>
      <c r="AU38" s="3">
        <v>3135</v>
      </c>
      <c r="AV38" s="3">
        <v>3127</v>
      </c>
      <c r="AW38" s="3">
        <v>3119</v>
      </c>
      <c r="AX38" s="3">
        <v>3111</v>
      </c>
      <c r="AY38" s="3">
        <v>3103</v>
      </c>
      <c r="AZ38" s="3">
        <v>3095</v>
      </c>
      <c r="BA38" s="3">
        <v>3087</v>
      </c>
      <c r="BB38" s="3">
        <v>3079</v>
      </c>
      <c r="BC38" s="3">
        <v>3071</v>
      </c>
      <c r="BD38" s="3">
        <v>3063</v>
      </c>
      <c r="BE38" s="3">
        <v>3056</v>
      </c>
      <c r="BF38" s="3">
        <v>3048</v>
      </c>
      <c r="BG38" s="3">
        <v>3041</v>
      </c>
      <c r="BH38" s="3">
        <v>3033</v>
      </c>
      <c r="BI38" s="3">
        <v>3024</v>
      </c>
      <c r="BJ38" s="3">
        <v>3016</v>
      </c>
      <c r="BK38" s="3">
        <v>3009</v>
      </c>
      <c r="BL38" s="3">
        <v>3001</v>
      </c>
      <c r="BM38" s="3">
        <v>2994</v>
      </c>
      <c r="BN38" s="3">
        <v>2986</v>
      </c>
    </row>
    <row r="39" spans="2:66" x14ac:dyDescent="0.35">
      <c r="B39">
        <v>52</v>
      </c>
      <c r="C39" s="3">
        <v>3702</v>
      </c>
      <c r="D39" s="3">
        <v>3686</v>
      </c>
      <c r="E39" s="3">
        <v>3670</v>
      </c>
      <c r="F39" s="3">
        <v>3654</v>
      </c>
      <c r="G39" s="3">
        <v>3637</v>
      </c>
      <c r="H39" s="3">
        <v>3621</v>
      </c>
      <c r="I39" s="3">
        <v>3604</v>
      </c>
      <c r="J39" s="3">
        <v>3587</v>
      </c>
      <c r="K39" s="3">
        <v>3571</v>
      </c>
      <c r="L39" s="3">
        <v>3554</v>
      </c>
      <c r="M39" s="3">
        <v>3537</v>
      </c>
      <c r="N39" s="3">
        <v>3520</v>
      </c>
      <c r="O39" s="3">
        <v>3503</v>
      </c>
      <c r="P39" s="3">
        <v>3489</v>
      </c>
      <c r="Q39" s="3">
        <v>3474</v>
      </c>
      <c r="R39" s="3">
        <v>3460</v>
      </c>
      <c r="S39" s="3">
        <v>3446</v>
      </c>
      <c r="T39" s="3">
        <v>3432</v>
      </c>
      <c r="U39" s="3">
        <v>3418</v>
      </c>
      <c r="V39" s="3">
        <v>3405</v>
      </c>
      <c r="W39" s="3">
        <v>3392</v>
      </c>
      <c r="X39" s="3">
        <v>3379</v>
      </c>
      <c r="Y39" s="3">
        <v>3367</v>
      </c>
      <c r="Z39" s="3">
        <v>3354</v>
      </c>
      <c r="AA39" s="3">
        <v>3342</v>
      </c>
      <c r="AB39" s="3">
        <v>3331</v>
      </c>
      <c r="AC39" s="3">
        <v>3319</v>
      </c>
      <c r="AD39" s="3">
        <v>3308</v>
      </c>
      <c r="AE39" s="3">
        <v>3297</v>
      </c>
      <c r="AF39" s="3">
        <v>3286</v>
      </c>
      <c r="AG39" s="3">
        <v>3276</v>
      </c>
      <c r="AH39" s="3">
        <v>3265</v>
      </c>
      <c r="AI39" s="3">
        <v>3255</v>
      </c>
      <c r="AJ39" s="3">
        <v>3245</v>
      </c>
      <c r="AK39" s="3">
        <v>3235</v>
      </c>
      <c r="AL39" s="3">
        <v>3225</v>
      </c>
      <c r="AM39" s="3">
        <v>3216</v>
      </c>
      <c r="AN39" s="3">
        <v>3206</v>
      </c>
      <c r="AO39" s="3">
        <v>3197</v>
      </c>
      <c r="AP39" s="3">
        <v>3188</v>
      </c>
      <c r="AQ39" s="3">
        <v>3179</v>
      </c>
      <c r="AR39" s="3">
        <v>3170</v>
      </c>
      <c r="AS39" s="3">
        <v>3161</v>
      </c>
      <c r="AT39" s="3">
        <v>3152</v>
      </c>
      <c r="AU39" s="3">
        <v>3143</v>
      </c>
      <c r="AV39" s="3">
        <v>3135</v>
      </c>
      <c r="AW39" s="3">
        <v>3126</v>
      </c>
      <c r="AX39" s="3">
        <v>3118</v>
      </c>
      <c r="AY39" s="3">
        <v>3109</v>
      </c>
      <c r="AZ39" s="3">
        <v>3101</v>
      </c>
      <c r="BA39" s="3">
        <v>3092</v>
      </c>
      <c r="BB39" s="3">
        <v>3084</v>
      </c>
      <c r="BC39" s="3">
        <v>3076</v>
      </c>
      <c r="BD39" s="3">
        <v>3068</v>
      </c>
      <c r="BE39" s="3">
        <v>3060</v>
      </c>
      <c r="BF39" s="3">
        <v>3052</v>
      </c>
      <c r="BG39" s="3">
        <v>3044</v>
      </c>
      <c r="BH39" s="3">
        <v>3036</v>
      </c>
      <c r="BI39" s="3">
        <v>3027</v>
      </c>
      <c r="BJ39" s="3">
        <v>3019</v>
      </c>
      <c r="BK39" s="3">
        <v>3011</v>
      </c>
      <c r="BL39" s="3">
        <v>3003</v>
      </c>
      <c r="BM39" s="3">
        <v>2995</v>
      </c>
      <c r="BN39" s="3">
        <v>2987</v>
      </c>
    </row>
    <row r="40" spans="2:66" x14ac:dyDescent="0.35">
      <c r="B40">
        <v>53</v>
      </c>
      <c r="C40" s="3">
        <v>3741</v>
      </c>
      <c r="D40" s="3">
        <v>3724</v>
      </c>
      <c r="E40" s="3">
        <v>3707</v>
      </c>
      <c r="F40" s="3">
        <v>3689</v>
      </c>
      <c r="G40" s="3">
        <v>3672</v>
      </c>
      <c r="H40" s="3">
        <v>3654</v>
      </c>
      <c r="I40" s="3">
        <v>3636</v>
      </c>
      <c r="J40" s="3">
        <v>3618</v>
      </c>
      <c r="K40" s="3">
        <v>3601</v>
      </c>
      <c r="L40" s="3">
        <v>3583</v>
      </c>
      <c r="M40" s="3">
        <v>3565</v>
      </c>
      <c r="N40" s="3">
        <v>3547</v>
      </c>
      <c r="O40" s="3">
        <v>3531</v>
      </c>
      <c r="P40" s="3">
        <v>3516</v>
      </c>
      <c r="Q40" s="3">
        <v>3500</v>
      </c>
      <c r="R40" s="3">
        <v>3485</v>
      </c>
      <c r="S40" s="3">
        <v>3471</v>
      </c>
      <c r="T40" s="3">
        <v>3456</v>
      </c>
      <c r="U40" s="3">
        <v>3442</v>
      </c>
      <c r="V40" s="3">
        <v>3428</v>
      </c>
      <c r="W40" s="3">
        <v>3414</v>
      </c>
      <c r="X40" s="3">
        <v>3401</v>
      </c>
      <c r="Y40" s="3">
        <v>3388</v>
      </c>
      <c r="Z40" s="3">
        <v>3375</v>
      </c>
      <c r="AA40" s="3">
        <v>3362</v>
      </c>
      <c r="AB40" s="3">
        <v>3350</v>
      </c>
      <c r="AC40" s="3">
        <v>3338</v>
      </c>
      <c r="AD40" s="3">
        <v>3326</v>
      </c>
      <c r="AE40" s="3">
        <v>3315</v>
      </c>
      <c r="AF40" s="3">
        <v>3304</v>
      </c>
      <c r="AG40" s="3">
        <v>3292</v>
      </c>
      <c r="AH40" s="3">
        <v>3282</v>
      </c>
      <c r="AI40" s="3">
        <v>3271</v>
      </c>
      <c r="AJ40" s="3">
        <v>3260</v>
      </c>
      <c r="AK40" s="3">
        <v>3250</v>
      </c>
      <c r="AL40" s="3">
        <v>3240</v>
      </c>
      <c r="AM40" s="3">
        <v>3230</v>
      </c>
      <c r="AN40" s="3">
        <v>3220</v>
      </c>
      <c r="AO40" s="3">
        <v>3210</v>
      </c>
      <c r="AP40" s="3">
        <v>3201</v>
      </c>
      <c r="AQ40" s="3">
        <v>3191</v>
      </c>
      <c r="AR40" s="3">
        <v>3182</v>
      </c>
      <c r="AS40" s="3">
        <v>3172</v>
      </c>
      <c r="AT40" s="3">
        <v>3163</v>
      </c>
      <c r="AU40" s="3">
        <v>3154</v>
      </c>
      <c r="AV40" s="3">
        <v>3145</v>
      </c>
      <c r="AW40" s="3">
        <v>3136</v>
      </c>
      <c r="AX40" s="3">
        <v>3127</v>
      </c>
      <c r="AY40" s="3">
        <v>3118</v>
      </c>
      <c r="AZ40" s="3">
        <v>3109</v>
      </c>
      <c r="BA40" s="3">
        <v>3101</v>
      </c>
      <c r="BB40" s="3">
        <v>3092</v>
      </c>
      <c r="BC40" s="3">
        <v>3083</v>
      </c>
      <c r="BD40" s="3">
        <v>3075</v>
      </c>
      <c r="BE40" s="3">
        <v>3067</v>
      </c>
      <c r="BF40" s="3">
        <v>3058</v>
      </c>
      <c r="BG40" s="3">
        <v>3050</v>
      </c>
      <c r="BH40" s="3">
        <v>3042</v>
      </c>
      <c r="BI40" s="3">
        <v>3032</v>
      </c>
      <c r="BJ40" s="3">
        <v>3024</v>
      </c>
      <c r="BK40" s="3">
        <v>3015</v>
      </c>
      <c r="BL40" s="3">
        <v>3007</v>
      </c>
      <c r="BM40" s="3">
        <v>2999</v>
      </c>
      <c r="BN40" s="3">
        <v>2991</v>
      </c>
    </row>
    <row r="41" spans="2:66" x14ac:dyDescent="0.35">
      <c r="B41">
        <v>54</v>
      </c>
      <c r="C41" s="3">
        <v>3785</v>
      </c>
      <c r="D41" s="3">
        <v>3766</v>
      </c>
      <c r="E41" s="3">
        <v>3748</v>
      </c>
      <c r="F41" s="3">
        <v>3729</v>
      </c>
      <c r="G41" s="3">
        <v>3710</v>
      </c>
      <c r="H41" s="3">
        <v>3691</v>
      </c>
      <c r="I41" s="3">
        <v>3672</v>
      </c>
      <c r="J41" s="3">
        <v>3653</v>
      </c>
      <c r="K41" s="3">
        <v>3634</v>
      </c>
      <c r="L41" s="3">
        <v>3616</v>
      </c>
      <c r="M41" s="3">
        <v>3597</v>
      </c>
      <c r="N41" s="3">
        <v>3580</v>
      </c>
      <c r="O41" s="3">
        <v>3563</v>
      </c>
      <c r="P41" s="3">
        <v>3546</v>
      </c>
      <c r="Q41" s="3">
        <v>3530</v>
      </c>
      <c r="R41" s="3">
        <v>3514</v>
      </c>
      <c r="S41" s="3">
        <v>3499</v>
      </c>
      <c r="T41" s="3">
        <v>3484</v>
      </c>
      <c r="U41" s="3">
        <v>3469</v>
      </c>
      <c r="V41" s="3">
        <v>3454</v>
      </c>
      <c r="W41" s="3">
        <v>3440</v>
      </c>
      <c r="X41" s="3">
        <v>3426</v>
      </c>
      <c r="Y41" s="3">
        <v>3412</v>
      </c>
      <c r="Z41" s="3">
        <v>3399</v>
      </c>
      <c r="AA41" s="3">
        <v>3386</v>
      </c>
      <c r="AB41" s="3">
        <v>3373</v>
      </c>
      <c r="AC41" s="3">
        <v>3360</v>
      </c>
      <c r="AD41" s="3">
        <v>3348</v>
      </c>
      <c r="AE41" s="3">
        <v>3336</v>
      </c>
      <c r="AF41" s="3">
        <v>3324</v>
      </c>
      <c r="AG41" s="3">
        <v>3312</v>
      </c>
      <c r="AH41" s="3">
        <v>3301</v>
      </c>
      <c r="AI41" s="3">
        <v>3290</v>
      </c>
      <c r="AJ41" s="3">
        <v>3279</v>
      </c>
      <c r="AK41" s="3">
        <v>3268</v>
      </c>
      <c r="AL41" s="3">
        <v>3257</v>
      </c>
      <c r="AM41" s="3">
        <v>3247</v>
      </c>
      <c r="AN41" s="3">
        <v>3236</v>
      </c>
      <c r="AO41" s="3">
        <v>3226</v>
      </c>
      <c r="AP41" s="3">
        <v>3216</v>
      </c>
      <c r="AQ41" s="3">
        <v>3206</v>
      </c>
      <c r="AR41" s="3">
        <v>3196</v>
      </c>
      <c r="AS41" s="3">
        <v>3186</v>
      </c>
      <c r="AT41" s="3">
        <v>3177</v>
      </c>
      <c r="AU41" s="3">
        <v>3167</v>
      </c>
      <c r="AV41" s="3">
        <v>3158</v>
      </c>
      <c r="AW41" s="3">
        <v>3148</v>
      </c>
      <c r="AX41" s="3">
        <v>3139</v>
      </c>
      <c r="AY41" s="3">
        <v>3130</v>
      </c>
      <c r="AZ41" s="3">
        <v>3120</v>
      </c>
      <c r="BA41" s="3">
        <v>3111</v>
      </c>
      <c r="BB41" s="3">
        <v>3102</v>
      </c>
      <c r="BC41" s="3">
        <v>3093</v>
      </c>
      <c r="BD41" s="3">
        <v>3085</v>
      </c>
      <c r="BE41" s="3">
        <v>3076</v>
      </c>
      <c r="BF41" s="3">
        <v>3067</v>
      </c>
      <c r="BG41" s="3">
        <v>3058</v>
      </c>
      <c r="BH41" s="3">
        <v>3050</v>
      </c>
      <c r="BI41" s="3">
        <v>3040</v>
      </c>
      <c r="BJ41" s="3">
        <v>3031</v>
      </c>
      <c r="BK41" s="3">
        <v>3022</v>
      </c>
      <c r="BL41" s="3">
        <v>3014</v>
      </c>
      <c r="BM41" s="3">
        <v>3005</v>
      </c>
      <c r="BN41" s="3">
        <v>2997</v>
      </c>
    </row>
    <row r="42" spans="2:66" x14ac:dyDescent="0.35">
      <c r="B42">
        <v>55</v>
      </c>
      <c r="C42" s="3">
        <v>3833</v>
      </c>
      <c r="D42" s="3">
        <v>3813</v>
      </c>
      <c r="E42" s="3">
        <v>3793</v>
      </c>
      <c r="F42" s="3">
        <v>3773</v>
      </c>
      <c r="G42" s="3">
        <v>3753</v>
      </c>
      <c r="H42" s="3">
        <v>3733</v>
      </c>
      <c r="I42" s="3">
        <v>3712</v>
      </c>
      <c r="J42" s="3">
        <v>3692</v>
      </c>
      <c r="K42" s="3">
        <v>3672</v>
      </c>
      <c r="L42" s="3">
        <v>3652</v>
      </c>
      <c r="M42" s="3">
        <v>3634</v>
      </c>
      <c r="N42" s="3">
        <v>3616</v>
      </c>
      <c r="O42" s="3">
        <v>3598</v>
      </c>
      <c r="P42" s="3">
        <v>3581</v>
      </c>
      <c r="Q42" s="3">
        <v>3564</v>
      </c>
      <c r="R42" s="3">
        <v>3547</v>
      </c>
      <c r="S42" s="3">
        <v>3531</v>
      </c>
      <c r="T42" s="3">
        <v>3515</v>
      </c>
      <c r="U42" s="3">
        <v>3499</v>
      </c>
      <c r="V42" s="3">
        <v>3484</v>
      </c>
      <c r="W42" s="3">
        <v>3469</v>
      </c>
      <c r="X42" s="3">
        <v>3454</v>
      </c>
      <c r="Y42" s="3">
        <v>3440</v>
      </c>
      <c r="Z42" s="3">
        <v>3426</v>
      </c>
      <c r="AA42" s="3">
        <v>3412</v>
      </c>
      <c r="AB42" s="3">
        <v>3399</v>
      </c>
      <c r="AC42" s="3">
        <v>3385</v>
      </c>
      <c r="AD42" s="3">
        <v>3373</v>
      </c>
      <c r="AE42" s="3">
        <v>3360</v>
      </c>
      <c r="AF42" s="3">
        <v>3348</v>
      </c>
      <c r="AG42" s="3">
        <v>3335</v>
      </c>
      <c r="AH42" s="3">
        <v>3324</v>
      </c>
      <c r="AI42" s="3">
        <v>3312</v>
      </c>
      <c r="AJ42" s="3">
        <v>3300</v>
      </c>
      <c r="AK42" s="3">
        <v>3289</v>
      </c>
      <c r="AL42" s="3">
        <v>3278</v>
      </c>
      <c r="AM42" s="3">
        <v>3267</v>
      </c>
      <c r="AN42" s="3">
        <v>3256</v>
      </c>
      <c r="AO42" s="3">
        <v>3245</v>
      </c>
      <c r="AP42" s="3">
        <v>3234</v>
      </c>
      <c r="AQ42" s="3">
        <v>3224</v>
      </c>
      <c r="AR42" s="3">
        <v>3214</v>
      </c>
      <c r="AS42" s="3">
        <v>3203</v>
      </c>
      <c r="AT42" s="3">
        <v>3193</v>
      </c>
      <c r="AU42" s="3">
        <v>3183</v>
      </c>
      <c r="AV42" s="3">
        <v>3173</v>
      </c>
      <c r="AW42" s="3">
        <v>3163</v>
      </c>
      <c r="AX42" s="3">
        <v>3154</v>
      </c>
      <c r="AY42" s="3">
        <v>3144</v>
      </c>
      <c r="AZ42" s="3">
        <v>3134</v>
      </c>
      <c r="BA42" s="3">
        <v>3125</v>
      </c>
      <c r="BB42" s="3">
        <v>3115</v>
      </c>
      <c r="BC42" s="3">
        <v>3106</v>
      </c>
      <c r="BD42" s="3">
        <v>3097</v>
      </c>
      <c r="BE42" s="3">
        <v>3087</v>
      </c>
      <c r="BF42" s="3">
        <v>3078</v>
      </c>
      <c r="BG42" s="3">
        <v>3069</v>
      </c>
      <c r="BH42" s="3">
        <v>3060</v>
      </c>
      <c r="BI42" s="3">
        <v>3050</v>
      </c>
      <c r="BJ42" s="3">
        <v>3041</v>
      </c>
      <c r="BK42" s="3">
        <v>3032</v>
      </c>
      <c r="BL42" s="3">
        <v>3023</v>
      </c>
      <c r="BM42" s="3">
        <v>3014</v>
      </c>
      <c r="BN42" s="3">
        <v>3005</v>
      </c>
    </row>
    <row r="43" spans="2:66" x14ac:dyDescent="0.35">
      <c r="B43">
        <v>56</v>
      </c>
      <c r="C43" s="3">
        <v>3885</v>
      </c>
      <c r="D43" s="3">
        <v>3864</v>
      </c>
      <c r="E43" s="3">
        <v>3843</v>
      </c>
      <c r="F43" s="3">
        <v>3821</v>
      </c>
      <c r="G43" s="3">
        <v>3800</v>
      </c>
      <c r="H43" s="3">
        <v>3778</v>
      </c>
      <c r="I43" s="3">
        <v>3757</v>
      </c>
      <c r="J43" s="3">
        <v>3735</v>
      </c>
      <c r="K43" s="3">
        <v>3714</v>
      </c>
      <c r="L43" s="3">
        <v>3694</v>
      </c>
      <c r="M43" s="3">
        <v>3675</v>
      </c>
      <c r="N43" s="3">
        <v>3656</v>
      </c>
      <c r="O43" s="3">
        <v>3637</v>
      </c>
      <c r="P43" s="3">
        <v>3619</v>
      </c>
      <c r="Q43" s="3">
        <v>3601</v>
      </c>
      <c r="R43" s="3">
        <v>3584</v>
      </c>
      <c r="S43" s="3">
        <v>3567</v>
      </c>
      <c r="T43" s="3">
        <v>3550</v>
      </c>
      <c r="U43" s="3">
        <v>3534</v>
      </c>
      <c r="V43" s="3">
        <v>3517</v>
      </c>
      <c r="W43" s="3">
        <v>3502</v>
      </c>
      <c r="X43" s="3">
        <v>3486</v>
      </c>
      <c r="Y43" s="3">
        <v>3471</v>
      </c>
      <c r="Z43" s="3">
        <v>3456</v>
      </c>
      <c r="AA43" s="3">
        <v>3442</v>
      </c>
      <c r="AB43" s="3">
        <v>3428</v>
      </c>
      <c r="AC43" s="3">
        <v>3414</v>
      </c>
      <c r="AD43" s="3">
        <v>3401</v>
      </c>
      <c r="AE43" s="3">
        <v>3387</v>
      </c>
      <c r="AF43" s="3">
        <v>3374</v>
      </c>
      <c r="AG43" s="3">
        <v>3362</v>
      </c>
      <c r="AH43" s="3">
        <v>3349</v>
      </c>
      <c r="AI43" s="3">
        <v>3337</v>
      </c>
      <c r="AJ43" s="3">
        <v>3325</v>
      </c>
      <c r="AK43" s="3">
        <v>3313</v>
      </c>
      <c r="AL43" s="3">
        <v>3301</v>
      </c>
      <c r="AM43" s="3">
        <v>3290</v>
      </c>
      <c r="AN43" s="3">
        <v>3278</v>
      </c>
      <c r="AO43" s="3">
        <v>3267</v>
      </c>
      <c r="AP43" s="3">
        <v>3256</v>
      </c>
      <c r="AQ43" s="3">
        <v>3245</v>
      </c>
      <c r="AR43" s="3">
        <v>3234</v>
      </c>
      <c r="AS43" s="3">
        <v>3223</v>
      </c>
      <c r="AT43" s="3">
        <v>3213</v>
      </c>
      <c r="AU43" s="3">
        <v>3202</v>
      </c>
      <c r="AV43" s="3">
        <v>3192</v>
      </c>
      <c r="AW43" s="3">
        <v>3181</v>
      </c>
      <c r="AX43" s="3">
        <v>3171</v>
      </c>
      <c r="AY43" s="3">
        <v>3161</v>
      </c>
      <c r="AZ43" s="3">
        <v>3151</v>
      </c>
      <c r="BA43" s="3">
        <v>3141</v>
      </c>
      <c r="BB43" s="3">
        <v>3131</v>
      </c>
      <c r="BC43" s="3">
        <v>3121</v>
      </c>
      <c r="BD43" s="3">
        <v>3111</v>
      </c>
      <c r="BE43" s="3">
        <v>3102</v>
      </c>
      <c r="BF43" s="3">
        <v>3092</v>
      </c>
      <c r="BG43" s="3">
        <v>3083</v>
      </c>
      <c r="BH43" s="3">
        <v>3073</v>
      </c>
      <c r="BI43" s="3">
        <v>3063</v>
      </c>
      <c r="BJ43" s="3">
        <v>3053</v>
      </c>
      <c r="BK43" s="3">
        <v>3044</v>
      </c>
      <c r="BL43" s="3">
        <v>3035</v>
      </c>
      <c r="BM43" s="3">
        <v>3025</v>
      </c>
      <c r="BN43" s="3">
        <v>3016</v>
      </c>
    </row>
    <row r="44" spans="2:66" x14ac:dyDescent="0.35">
      <c r="B44">
        <v>57</v>
      </c>
      <c r="C44" s="3">
        <v>3943</v>
      </c>
      <c r="D44" s="3">
        <v>3920</v>
      </c>
      <c r="E44" s="3">
        <v>3897</v>
      </c>
      <c r="F44" s="3">
        <v>3874</v>
      </c>
      <c r="G44" s="3">
        <v>3851</v>
      </c>
      <c r="H44" s="3">
        <v>3828</v>
      </c>
      <c r="I44" s="3">
        <v>3805</v>
      </c>
      <c r="J44" s="3">
        <v>3782</v>
      </c>
      <c r="K44" s="3">
        <v>3761</v>
      </c>
      <c r="L44" s="3">
        <v>3741</v>
      </c>
      <c r="M44" s="3">
        <v>3720</v>
      </c>
      <c r="N44" s="3">
        <v>3700</v>
      </c>
      <c r="O44" s="3">
        <v>3681</v>
      </c>
      <c r="P44" s="3">
        <v>3662</v>
      </c>
      <c r="Q44" s="3">
        <v>3643</v>
      </c>
      <c r="R44" s="3">
        <v>3624</v>
      </c>
      <c r="S44" s="3">
        <v>3606</v>
      </c>
      <c r="T44" s="3">
        <v>3589</v>
      </c>
      <c r="U44" s="3">
        <v>3571</v>
      </c>
      <c r="V44" s="3">
        <v>3554</v>
      </c>
      <c r="W44" s="3">
        <v>3538</v>
      </c>
      <c r="X44" s="3">
        <v>3522</v>
      </c>
      <c r="Y44" s="3">
        <v>3506</v>
      </c>
      <c r="Z44" s="3">
        <v>3490</v>
      </c>
      <c r="AA44" s="3">
        <v>3475</v>
      </c>
      <c r="AB44" s="3">
        <v>3461</v>
      </c>
      <c r="AC44" s="3">
        <v>3446</v>
      </c>
      <c r="AD44" s="3">
        <v>3432</v>
      </c>
      <c r="AE44" s="3">
        <v>3418</v>
      </c>
      <c r="AF44" s="3">
        <v>3405</v>
      </c>
      <c r="AG44" s="3">
        <v>3391</v>
      </c>
      <c r="AH44" s="3">
        <v>3378</v>
      </c>
      <c r="AI44" s="3">
        <v>3365</v>
      </c>
      <c r="AJ44" s="3">
        <v>3353</v>
      </c>
      <c r="AK44" s="3">
        <v>3340</v>
      </c>
      <c r="AL44" s="3">
        <v>3328</v>
      </c>
      <c r="AM44" s="3">
        <v>3316</v>
      </c>
      <c r="AN44" s="3">
        <v>3304</v>
      </c>
      <c r="AO44" s="3">
        <v>3292</v>
      </c>
      <c r="AP44" s="3">
        <v>3280</v>
      </c>
      <c r="AQ44" s="3">
        <v>3269</v>
      </c>
      <c r="AR44" s="3">
        <v>3257</v>
      </c>
      <c r="AS44" s="3">
        <v>3246</v>
      </c>
      <c r="AT44" s="3">
        <v>3235</v>
      </c>
      <c r="AU44" s="3">
        <v>3224</v>
      </c>
      <c r="AV44" s="3">
        <v>3213</v>
      </c>
      <c r="AW44" s="3">
        <v>3202</v>
      </c>
      <c r="AX44" s="3">
        <v>3191</v>
      </c>
      <c r="AY44" s="3">
        <v>3181</v>
      </c>
      <c r="AZ44" s="3">
        <v>3170</v>
      </c>
      <c r="BA44" s="3">
        <v>3160</v>
      </c>
      <c r="BB44" s="3">
        <v>3149</v>
      </c>
      <c r="BC44" s="3">
        <v>3139</v>
      </c>
      <c r="BD44" s="3">
        <v>3129</v>
      </c>
      <c r="BE44" s="3">
        <v>3119</v>
      </c>
      <c r="BF44" s="3">
        <v>3109</v>
      </c>
      <c r="BG44" s="3">
        <v>3099</v>
      </c>
      <c r="BH44" s="3">
        <v>3089</v>
      </c>
      <c r="BI44" s="3">
        <v>3078</v>
      </c>
      <c r="BJ44" s="3">
        <v>3068</v>
      </c>
      <c r="BK44" s="3">
        <v>3059</v>
      </c>
      <c r="BL44" s="3">
        <v>3049</v>
      </c>
      <c r="BM44" s="3">
        <v>3039</v>
      </c>
      <c r="BN44" s="3">
        <v>3030</v>
      </c>
    </row>
    <row r="45" spans="2:66" x14ac:dyDescent="0.35">
      <c r="B45">
        <v>58</v>
      </c>
      <c r="C45" s="3">
        <v>4005</v>
      </c>
      <c r="D45" s="3">
        <v>3980</v>
      </c>
      <c r="E45" s="3">
        <v>3956</v>
      </c>
      <c r="F45" s="3">
        <v>3931</v>
      </c>
      <c r="G45" s="3">
        <v>3907</v>
      </c>
      <c r="H45" s="3">
        <v>3882</v>
      </c>
      <c r="I45" s="3">
        <v>3858</v>
      </c>
      <c r="J45" s="3">
        <v>3835</v>
      </c>
      <c r="K45" s="3">
        <v>3813</v>
      </c>
      <c r="L45" s="3">
        <v>3791</v>
      </c>
      <c r="M45" s="3">
        <v>3770</v>
      </c>
      <c r="N45" s="3">
        <v>3749</v>
      </c>
      <c r="O45" s="3">
        <v>3728</v>
      </c>
      <c r="P45" s="3">
        <v>3708</v>
      </c>
      <c r="Q45" s="3">
        <v>3688</v>
      </c>
      <c r="R45" s="3">
        <v>3669</v>
      </c>
      <c r="S45" s="3">
        <v>3650</v>
      </c>
      <c r="T45" s="3">
        <v>3631</v>
      </c>
      <c r="U45" s="3">
        <v>3613</v>
      </c>
      <c r="V45" s="3">
        <v>3595</v>
      </c>
      <c r="W45" s="3">
        <v>3578</v>
      </c>
      <c r="X45" s="3">
        <v>3561</v>
      </c>
      <c r="Y45" s="3">
        <v>3544</v>
      </c>
      <c r="Z45" s="3">
        <v>3528</v>
      </c>
      <c r="AA45" s="3">
        <v>3512</v>
      </c>
      <c r="AB45" s="3">
        <v>3497</v>
      </c>
      <c r="AC45" s="3">
        <v>3482</v>
      </c>
      <c r="AD45" s="3">
        <v>3467</v>
      </c>
      <c r="AE45" s="3">
        <v>3452</v>
      </c>
      <c r="AF45" s="3">
        <v>3438</v>
      </c>
      <c r="AG45" s="3">
        <v>3424</v>
      </c>
      <c r="AH45" s="3">
        <v>3410</v>
      </c>
      <c r="AI45" s="3">
        <v>3397</v>
      </c>
      <c r="AJ45" s="3">
        <v>3383</v>
      </c>
      <c r="AK45" s="3">
        <v>3370</v>
      </c>
      <c r="AL45" s="3">
        <v>3358</v>
      </c>
      <c r="AM45" s="3">
        <v>3345</v>
      </c>
      <c r="AN45" s="3">
        <v>3332</v>
      </c>
      <c r="AO45" s="3">
        <v>3320</v>
      </c>
      <c r="AP45" s="3">
        <v>3308</v>
      </c>
      <c r="AQ45" s="3">
        <v>3296</v>
      </c>
      <c r="AR45" s="3">
        <v>3284</v>
      </c>
      <c r="AS45" s="3">
        <v>3272</v>
      </c>
      <c r="AT45" s="3">
        <v>3260</v>
      </c>
      <c r="AU45" s="3">
        <v>3249</v>
      </c>
      <c r="AV45" s="3">
        <v>3237</v>
      </c>
      <c r="AW45" s="3">
        <v>3226</v>
      </c>
      <c r="AX45" s="3">
        <v>3215</v>
      </c>
      <c r="AY45" s="3">
        <v>3203</v>
      </c>
      <c r="AZ45" s="3">
        <v>3192</v>
      </c>
      <c r="BA45" s="3">
        <v>3181</v>
      </c>
      <c r="BB45" s="3">
        <v>3171</v>
      </c>
      <c r="BC45" s="3">
        <v>3160</v>
      </c>
      <c r="BD45" s="3">
        <v>3149</v>
      </c>
      <c r="BE45" s="3">
        <v>3139</v>
      </c>
      <c r="BF45" s="3">
        <v>3128</v>
      </c>
      <c r="BG45" s="3">
        <v>3118</v>
      </c>
      <c r="BH45" s="3">
        <v>3108</v>
      </c>
      <c r="BI45" s="3">
        <v>3096</v>
      </c>
      <c r="BJ45" s="3">
        <v>3086</v>
      </c>
      <c r="BK45" s="3">
        <v>3076</v>
      </c>
      <c r="BL45" s="3">
        <v>3066</v>
      </c>
      <c r="BM45" s="3">
        <v>3056</v>
      </c>
      <c r="BN45" s="3">
        <v>3046</v>
      </c>
    </row>
    <row r="46" spans="2:66" x14ac:dyDescent="0.35">
      <c r="B46">
        <v>59</v>
      </c>
      <c r="C46" s="3">
        <v>4072</v>
      </c>
      <c r="D46" s="3">
        <v>4046</v>
      </c>
      <c r="E46" s="3">
        <v>4020</v>
      </c>
      <c r="F46" s="3">
        <v>3994</v>
      </c>
      <c r="G46" s="3">
        <v>3967</v>
      </c>
      <c r="H46" s="3">
        <v>3941</v>
      </c>
      <c r="I46" s="3">
        <v>3917</v>
      </c>
      <c r="J46" s="3">
        <v>3893</v>
      </c>
      <c r="K46" s="3">
        <v>3869</v>
      </c>
      <c r="L46" s="3">
        <v>3846</v>
      </c>
      <c r="M46" s="3">
        <v>3824</v>
      </c>
      <c r="N46" s="3">
        <v>3802</v>
      </c>
      <c r="O46" s="3">
        <v>3780</v>
      </c>
      <c r="P46" s="3">
        <v>3759</v>
      </c>
      <c r="Q46" s="3">
        <v>3738</v>
      </c>
      <c r="R46" s="3">
        <v>3717</v>
      </c>
      <c r="S46" s="3">
        <v>3697</v>
      </c>
      <c r="T46" s="3">
        <v>3678</v>
      </c>
      <c r="U46" s="3">
        <v>3659</v>
      </c>
      <c r="V46" s="3">
        <v>3640</v>
      </c>
      <c r="W46" s="3">
        <v>3622</v>
      </c>
      <c r="X46" s="3">
        <v>3604</v>
      </c>
      <c r="Y46" s="3">
        <v>3587</v>
      </c>
      <c r="Z46" s="3">
        <v>3570</v>
      </c>
      <c r="AA46" s="3">
        <v>3553</v>
      </c>
      <c r="AB46" s="3">
        <v>3537</v>
      </c>
      <c r="AC46" s="3">
        <v>3521</v>
      </c>
      <c r="AD46" s="3">
        <v>3505</v>
      </c>
      <c r="AE46" s="3">
        <v>3490</v>
      </c>
      <c r="AF46" s="3">
        <v>3475</v>
      </c>
      <c r="AG46" s="3">
        <v>3460</v>
      </c>
      <c r="AH46" s="3">
        <v>3446</v>
      </c>
      <c r="AI46" s="3">
        <v>3432</v>
      </c>
      <c r="AJ46" s="3">
        <v>3418</v>
      </c>
      <c r="AK46" s="3">
        <v>3404</v>
      </c>
      <c r="AL46" s="3">
        <v>3391</v>
      </c>
      <c r="AM46" s="3">
        <v>3377</v>
      </c>
      <c r="AN46" s="3">
        <v>3364</v>
      </c>
      <c r="AO46" s="3">
        <v>3351</v>
      </c>
      <c r="AP46" s="3">
        <v>3338</v>
      </c>
      <c r="AQ46" s="3">
        <v>3326</v>
      </c>
      <c r="AR46" s="3">
        <v>3313</v>
      </c>
      <c r="AS46" s="3">
        <v>3301</v>
      </c>
      <c r="AT46" s="3">
        <v>3289</v>
      </c>
      <c r="AU46" s="3">
        <v>3276</v>
      </c>
      <c r="AV46" s="3">
        <v>3264</v>
      </c>
      <c r="AW46" s="3">
        <v>3253</v>
      </c>
      <c r="AX46" s="3">
        <v>3241</v>
      </c>
      <c r="AY46" s="3">
        <v>3229</v>
      </c>
      <c r="AZ46" s="3">
        <v>3218</v>
      </c>
      <c r="BA46" s="3">
        <v>3206</v>
      </c>
      <c r="BB46" s="3">
        <v>3195</v>
      </c>
      <c r="BC46" s="3">
        <v>3184</v>
      </c>
      <c r="BD46" s="3">
        <v>3173</v>
      </c>
      <c r="BE46" s="3">
        <v>3162</v>
      </c>
      <c r="BF46" s="3">
        <v>3151</v>
      </c>
      <c r="BG46" s="3">
        <v>3140</v>
      </c>
      <c r="BH46" s="3">
        <v>3129</v>
      </c>
      <c r="BI46" s="3">
        <v>3118</v>
      </c>
      <c r="BJ46" s="3">
        <v>3107</v>
      </c>
      <c r="BK46" s="3">
        <v>3096</v>
      </c>
      <c r="BL46" s="3">
        <v>3086</v>
      </c>
      <c r="BM46" s="3">
        <v>3075</v>
      </c>
      <c r="BN46" s="3">
        <v>3065</v>
      </c>
    </row>
    <row r="47" spans="2:66" x14ac:dyDescent="0.35">
      <c r="B47">
        <v>60</v>
      </c>
      <c r="C47" s="3">
        <v>4145</v>
      </c>
      <c r="D47" s="3">
        <v>4117</v>
      </c>
      <c r="E47" s="3">
        <v>4089</v>
      </c>
      <c r="F47" s="3">
        <v>4061</v>
      </c>
      <c r="G47" s="3">
        <v>4033</v>
      </c>
      <c r="H47" s="3">
        <v>4006</v>
      </c>
      <c r="I47" s="3">
        <v>3981</v>
      </c>
      <c r="J47" s="3">
        <v>3955</v>
      </c>
      <c r="K47" s="3">
        <v>3930</v>
      </c>
      <c r="L47" s="3">
        <v>3906</v>
      </c>
      <c r="M47" s="3">
        <v>3882</v>
      </c>
      <c r="N47" s="3">
        <v>3859</v>
      </c>
      <c r="O47" s="3">
        <v>3836</v>
      </c>
      <c r="P47" s="3">
        <v>3813</v>
      </c>
      <c r="Q47" s="3">
        <v>3791</v>
      </c>
      <c r="R47" s="3">
        <v>3770</v>
      </c>
      <c r="S47" s="3">
        <v>3749</v>
      </c>
      <c r="T47" s="3">
        <v>3728</v>
      </c>
      <c r="U47" s="3">
        <v>3708</v>
      </c>
      <c r="V47" s="3">
        <v>3689</v>
      </c>
      <c r="W47" s="3">
        <v>3670</v>
      </c>
      <c r="X47" s="3">
        <v>3651</v>
      </c>
      <c r="Y47" s="3">
        <v>3633</v>
      </c>
      <c r="Z47" s="3">
        <v>3615</v>
      </c>
      <c r="AA47" s="3">
        <v>3597</v>
      </c>
      <c r="AB47" s="3">
        <v>3580</v>
      </c>
      <c r="AC47" s="3">
        <v>3564</v>
      </c>
      <c r="AD47" s="3">
        <v>3547</v>
      </c>
      <c r="AE47" s="3">
        <v>3531</v>
      </c>
      <c r="AF47" s="3">
        <v>3516</v>
      </c>
      <c r="AG47" s="3">
        <v>3500</v>
      </c>
      <c r="AH47" s="3">
        <v>3485</v>
      </c>
      <c r="AI47" s="3">
        <v>3470</v>
      </c>
      <c r="AJ47" s="3">
        <v>3456</v>
      </c>
      <c r="AK47" s="3">
        <v>3441</v>
      </c>
      <c r="AL47" s="3">
        <v>3427</v>
      </c>
      <c r="AM47" s="3">
        <v>3413</v>
      </c>
      <c r="AN47" s="3">
        <v>3399</v>
      </c>
      <c r="AO47" s="3">
        <v>3386</v>
      </c>
      <c r="AP47" s="3">
        <v>3372</v>
      </c>
      <c r="AQ47" s="3">
        <v>3359</v>
      </c>
      <c r="AR47" s="3">
        <v>3346</v>
      </c>
      <c r="AS47" s="3">
        <v>3333</v>
      </c>
      <c r="AT47" s="3">
        <v>3320</v>
      </c>
      <c r="AU47" s="3">
        <v>3307</v>
      </c>
      <c r="AV47" s="3">
        <v>3295</v>
      </c>
      <c r="AW47" s="3">
        <v>3282</v>
      </c>
      <c r="AX47" s="3">
        <v>3270</v>
      </c>
      <c r="AY47" s="3">
        <v>3258</v>
      </c>
      <c r="AZ47" s="3">
        <v>3246</v>
      </c>
      <c r="BA47" s="3">
        <v>3234</v>
      </c>
      <c r="BB47" s="3">
        <v>3222</v>
      </c>
      <c r="BC47" s="3">
        <v>3210</v>
      </c>
      <c r="BD47" s="3">
        <v>3199</v>
      </c>
      <c r="BE47" s="3">
        <v>3187</v>
      </c>
      <c r="BF47" s="3">
        <v>3176</v>
      </c>
      <c r="BG47" s="3">
        <v>3165</v>
      </c>
      <c r="BH47" s="3">
        <v>3154</v>
      </c>
      <c r="BI47" s="3">
        <v>3142</v>
      </c>
      <c r="BJ47" s="3">
        <v>3130</v>
      </c>
      <c r="BK47" s="3">
        <v>3119</v>
      </c>
      <c r="BL47" s="3">
        <v>3108</v>
      </c>
      <c r="BM47" s="3">
        <v>3098</v>
      </c>
      <c r="BN47" s="3">
        <v>3087</v>
      </c>
    </row>
    <row r="48" spans="2:66" x14ac:dyDescent="0.35">
      <c r="B48">
        <v>61</v>
      </c>
      <c r="C48" s="3">
        <v>4221</v>
      </c>
      <c r="D48" s="3">
        <v>4191</v>
      </c>
      <c r="E48" s="3">
        <v>4161</v>
      </c>
      <c r="F48" s="3">
        <v>4132</v>
      </c>
      <c r="G48" s="3">
        <v>4103</v>
      </c>
      <c r="H48" s="3">
        <v>4075</v>
      </c>
      <c r="I48" s="3">
        <v>4048</v>
      </c>
      <c r="J48" s="3">
        <v>4021</v>
      </c>
      <c r="K48" s="3">
        <v>3995</v>
      </c>
      <c r="L48" s="3">
        <v>3969</v>
      </c>
      <c r="M48" s="3">
        <v>3944</v>
      </c>
      <c r="N48" s="3">
        <v>3919</v>
      </c>
      <c r="O48" s="3">
        <v>3895</v>
      </c>
      <c r="P48" s="3">
        <v>3872</v>
      </c>
      <c r="Q48" s="3">
        <v>3849</v>
      </c>
      <c r="R48" s="3">
        <v>3826</v>
      </c>
      <c r="S48" s="3">
        <v>3804</v>
      </c>
      <c r="T48" s="3">
        <v>3782</v>
      </c>
      <c r="U48" s="3">
        <v>3761</v>
      </c>
      <c r="V48" s="3">
        <v>3741</v>
      </c>
      <c r="W48" s="3">
        <v>3721</v>
      </c>
      <c r="X48" s="3">
        <v>3701</v>
      </c>
      <c r="Y48" s="3">
        <v>3682</v>
      </c>
      <c r="Z48" s="3">
        <v>3663</v>
      </c>
      <c r="AA48" s="3">
        <v>3645</v>
      </c>
      <c r="AB48" s="3">
        <v>3627</v>
      </c>
      <c r="AC48" s="3">
        <v>3609</v>
      </c>
      <c r="AD48" s="3">
        <v>3592</v>
      </c>
      <c r="AE48" s="3">
        <v>3576</v>
      </c>
      <c r="AF48" s="3">
        <v>3559</v>
      </c>
      <c r="AG48" s="3">
        <v>3543</v>
      </c>
      <c r="AH48" s="3">
        <v>3527</v>
      </c>
      <c r="AI48" s="3">
        <v>3512</v>
      </c>
      <c r="AJ48" s="3">
        <v>3496</v>
      </c>
      <c r="AK48" s="3">
        <v>3481</v>
      </c>
      <c r="AL48" s="3">
        <v>3466</v>
      </c>
      <c r="AM48" s="3">
        <v>3452</v>
      </c>
      <c r="AN48" s="3">
        <v>3437</v>
      </c>
      <c r="AO48" s="3">
        <v>3423</v>
      </c>
      <c r="AP48" s="3">
        <v>3409</v>
      </c>
      <c r="AQ48" s="3">
        <v>3395</v>
      </c>
      <c r="AR48" s="3">
        <v>3381</v>
      </c>
      <c r="AS48" s="3">
        <v>3368</v>
      </c>
      <c r="AT48" s="3">
        <v>3354</v>
      </c>
      <c r="AU48" s="3">
        <v>3341</v>
      </c>
      <c r="AV48" s="3">
        <v>3328</v>
      </c>
      <c r="AW48" s="3">
        <v>3315</v>
      </c>
      <c r="AX48" s="3">
        <v>3302</v>
      </c>
      <c r="AY48" s="3">
        <v>3290</v>
      </c>
      <c r="AZ48" s="3">
        <v>3277</v>
      </c>
      <c r="BA48" s="3">
        <v>3264</v>
      </c>
      <c r="BB48" s="3">
        <v>3252</v>
      </c>
      <c r="BC48" s="3">
        <v>3240</v>
      </c>
      <c r="BD48" s="3">
        <v>3228</v>
      </c>
      <c r="BE48" s="3">
        <v>3216</v>
      </c>
      <c r="BF48" s="3">
        <v>3204</v>
      </c>
      <c r="BG48" s="3">
        <v>3192</v>
      </c>
      <c r="BH48" s="3">
        <v>3181</v>
      </c>
      <c r="BI48" s="3">
        <v>3168</v>
      </c>
      <c r="BJ48" s="3">
        <v>3157</v>
      </c>
      <c r="BK48" s="3">
        <v>3145</v>
      </c>
      <c r="BL48" s="3">
        <v>3134</v>
      </c>
      <c r="BM48" s="3">
        <v>3123</v>
      </c>
      <c r="BN48" s="3">
        <v>3112</v>
      </c>
    </row>
    <row r="49" spans="2:66" x14ac:dyDescent="0.35">
      <c r="B49">
        <v>62</v>
      </c>
      <c r="C49" s="3">
        <v>4302</v>
      </c>
      <c r="D49" s="3">
        <v>4270</v>
      </c>
      <c r="E49" s="3">
        <v>4238</v>
      </c>
      <c r="F49" s="3">
        <v>4208</v>
      </c>
      <c r="G49" s="3">
        <v>4178</v>
      </c>
      <c r="H49" s="3">
        <v>4148</v>
      </c>
      <c r="I49" s="3">
        <v>4119</v>
      </c>
      <c r="J49" s="3">
        <v>4091</v>
      </c>
      <c r="K49" s="3">
        <v>4063</v>
      </c>
      <c r="L49" s="3">
        <v>4036</v>
      </c>
      <c r="M49" s="3">
        <v>4009</v>
      </c>
      <c r="N49" s="3">
        <v>3983</v>
      </c>
      <c r="O49" s="3">
        <v>3958</v>
      </c>
      <c r="P49" s="3">
        <v>3933</v>
      </c>
      <c r="Q49" s="3">
        <v>3909</v>
      </c>
      <c r="R49" s="3">
        <v>3885</v>
      </c>
      <c r="S49" s="3">
        <v>3862</v>
      </c>
      <c r="T49" s="3">
        <v>3839</v>
      </c>
      <c r="U49" s="3">
        <v>3817</v>
      </c>
      <c r="V49" s="3">
        <v>3796</v>
      </c>
      <c r="W49" s="3">
        <v>3775</v>
      </c>
      <c r="X49" s="3">
        <v>3754</v>
      </c>
      <c r="Y49" s="3">
        <v>3734</v>
      </c>
      <c r="Z49" s="3">
        <v>3714</v>
      </c>
      <c r="AA49" s="3">
        <v>3695</v>
      </c>
      <c r="AB49" s="3">
        <v>3676</v>
      </c>
      <c r="AC49" s="3">
        <v>3658</v>
      </c>
      <c r="AD49" s="3">
        <v>3640</v>
      </c>
      <c r="AE49" s="3">
        <v>3623</v>
      </c>
      <c r="AF49" s="3">
        <v>3605</v>
      </c>
      <c r="AG49" s="3">
        <v>3589</v>
      </c>
      <c r="AH49" s="3">
        <v>3572</v>
      </c>
      <c r="AI49" s="3">
        <v>3556</v>
      </c>
      <c r="AJ49" s="3">
        <v>3540</v>
      </c>
      <c r="AK49" s="3">
        <v>3524</v>
      </c>
      <c r="AL49" s="3">
        <v>3508</v>
      </c>
      <c r="AM49" s="3">
        <v>3493</v>
      </c>
      <c r="AN49" s="3">
        <v>3478</v>
      </c>
      <c r="AO49" s="3">
        <v>3463</v>
      </c>
      <c r="AP49" s="3">
        <v>3448</v>
      </c>
      <c r="AQ49" s="3">
        <v>3434</v>
      </c>
      <c r="AR49" s="3">
        <v>3420</v>
      </c>
      <c r="AS49" s="3">
        <v>3405</v>
      </c>
      <c r="AT49" s="3">
        <v>3391</v>
      </c>
      <c r="AU49" s="3">
        <v>3377</v>
      </c>
      <c r="AV49" s="3">
        <v>3364</v>
      </c>
      <c r="AW49" s="3">
        <v>3350</v>
      </c>
      <c r="AX49" s="3">
        <v>3337</v>
      </c>
      <c r="AY49" s="3">
        <v>3323</v>
      </c>
      <c r="AZ49" s="3">
        <v>3310</v>
      </c>
      <c r="BA49" s="3">
        <v>3297</v>
      </c>
      <c r="BB49" s="3">
        <v>3284</v>
      </c>
      <c r="BC49" s="3">
        <v>3272</v>
      </c>
      <c r="BD49" s="3">
        <v>3259</v>
      </c>
      <c r="BE49" s="3">
        <v>3247</v>
      </c>
      <c r="BF49" s="3">
        <v>3234</v>
      </c>
      <c r="BG49" s="3">
        <v>3222</v>
      </c>
      <c r="BH49" s="3">
        <v>3210</v>
      </c>
      <c r="BI49" s="3">
        <v>3197</v>
      </c>
      <c r="BJ49" s="3">
        <v>3185</v>
      </c>
      <c r="BK49" s="3">
        <v>3173</v>
      </c>
      <c r="BL49" s="3">
        <v>3162</v>
      </c>
      <c r="BM49" s="3">
        <v>3150</v>
      </c>
      <c r="BN49" s="3">
        <v>3139</v>
      </c>
    </row>
    <row r="50" spans="2:66" x14ac:dyDescent="0.35">
      <c r="B50">
        <v>63</v>
      </c>
      <c r="C50" s="3">
        <v>4365</v>
      </c>
      <c r="D50" s="3">
        <v>4332</v>
      </c>
      <c r="E50" s="3">
        <v>4300</v>
      </c>
      <c r="F50" s="3">
        <v>4268</v>
      </c>
      <c r="G50" s="3">
        <v>4237</v>
      </c>
      <c r="H50" s="3">
        <v>4207</v>
      </c>
      <c r="I50" s="3">
        <v>4177</v>
      </c>
      <c r="J50" s="3">
        <v>4147</v>
      </c>
      <c r="K50" s="3">
        <v>4119</v>
      </c>
      <c r="L50" s="3">
        <v>4091</v>
      </c>
      <c r="M50" s="3">
        <v>4063</v>
      </c>
      <c r="N50" s="3">
        <v>4036</v>
      </c>
      <c r="O50" s="3">
        <v>4010</v>
      </c>
      <c r="P50" s="3">
        <v>3985</v>
      </c>
      <c r="Q50" s="3">
        <v>3960</v>
      </c>
      <c r="R50" s="3">
        <v>3935</v>
      </c>
      <c r="S50" s="3">
        <v>3911</v>
      </c>
      <c r="T50" s="3">
        <v>3888</v>
      </c>
      <c r="U50" s="3">
        <v>3865</v>
      </c>
      <c r="V50" s="3">
        <v>3843</v>
      </c>
      <c r="W50" s="3">
        <v>3821</v>
      </c>
      <c r="X50" s="3">
        <v>3800</v>
      </c>
      <c r="Y50" s="3">
        <v>3779</v>
      </c>
      <c r="Z50" s="3">
        <v>3759</v>
      </c>
      <c r="AA50" s="3">
        <v>3739</v>
      </c>
      <c r="AB50" s="3">
        <v>3720</v>
      </c>
      <c r="AC50" s="3">
        <v>3701</v>
      </c>
      <c r="AD50" s="3">
        <v>3682</v>
      </c>
      <c r="AE50" s="3">
        <v>3664</v>
      </c>
      <c r="AF50" s="3">
        <v>3646</v>
      </c>
      <c r="AG50" s="3">
        <v>3629</v>
      </c>
      <c r="AH50" s="3">
        <v>3612</v>
      </c>
      <c r="AI50" s="3">
        <v>3595</v>
      </c>
      <c r="AJ50" s="3">
        <v>3578</v>
      </c>
      <c r="AK50" s="3">
        <v>3562</v>
      </c>
      <c r="AL50" s="3">
        <v>3546</v>
      </c>
      <c r="AM50" s="3">
        <v>3530</v>
      </c>
      <c r="AN50" s="3">
        <v>3515</v>
      </c>
      <c r="AO50" s="3">
        <v>3499</v>
      </c>
      <c r="AP50" s="3">
        <v>3484</v>
      </c>
      <c r="AQ50" s="3">
        <v>3469</v>
      </c>
      <c r="AR50" s="3">
        <v>3454</v>
      </c>
      <c r="AS50" s="3">
        <v>3440</v>
      </c>
      <c r="AT50" s="3">
        <v>3425</v>
      </c>
      <c r="AU50" s="3">
        <v>3411</v>
      </c>
      <c r="AV50" s="3">
        <v>3397</v>
      </c>
      <c r="AW50" s="3">
        <v>3382</v>
      </c>
      <c r="AX50" s="3">
        <v>3369</v>
      </c>
      <c r="AY50" s="3">
        <v>3355</v>
      </c>
      <c r="AZ50" s="3">
        <v>3341</v>
      </c>
      <c r="BA50" s="3">
        <v>3328</v>
      </c>
      <c r="BB50" s="3">
        <v>3315</v>
      </c>
      <c r="BC50" s="3">
        <v>3301</v>
      </c>
      <c r="BD50" s="3">
        <v>3288</v>
      </c>
      <c r="BE50" s="3">
        <v>3276</v>
      </c>
      <c r="BF50" s="3">
        <v>3263</v>
      </c>
      <c r="BG50" s="3">
        <v>3250</v>
      </c>
      <c r="BH50" s="3">
        <v>3238</v>
      </c>
      <c r="BI50" s="3">
        <v>3225</v>
      </c>
      <c r="BJ50" s="3">
        <v>3213</v>
      </c>
      <c r="BK50" s="3">
        <v>3200</v>
      </c>
      <c r="BL50" s="3">
        <v>3188</v>
      </c>
      <c r="BM50" s="3">
        <v>3176</v>
      </c>
      <c r="BN50" s="3">
        <v>3165</v>
      </c>
    </row>
    <row r="51" spans="2:66" x14ac:dyDescent="0.35">
      <c r="B51">
        <v>64</v>
      </c>
      <c r="C51" s="3">
        <v>4715</v>
      </c>
      <c r="D51" s="3">
        <v>4673</v>
      </c>
      <c r="E51" s="3">
        <v>4633</v>
      </c>
      <c r="F51" s="3">
        <v>4593</v>
      </c>
      <c r="G51" s="3">
        <v>4554</v>
      </c>
      <c r="H51" s="3">
        <v>4516</v>
      </c>
      <c r="I51" s="3">
        <v>4479</v>
      </c>
      <c r="J51" s="3">
        <v>4442</v>
      </c>
      <c r="K51" s="3">
        <v>4407</v>
      </c>
      <c r="L51" s="3">
        <v>4372</v>
      </c>
      <c r="M51" s="3">
        <v>4338</v>
      </c>
      <c r="N51" s="3">
        <v>4305</v>
      </c>
      <c r="O51" s="3">
        <v>4273</v>
      </c>
      <c r="P51" s="3">
        <v>4242</v>
      </c>
      <c r="Q51" s="3">
        <v>4211</v>
      </c>
      <c r="R51" s="3">
        <v>4182</v>
      </c>
      <c r="S51" s="3">
        <v>4153</v>
      </c>
      <c r="T51" s="3">
        <v>4125</v>
      </c>
      <c r="U51" s="3">
        <v>4097</v>
      </c>
      <c r="V51" s="3">
        <v>4071</v>
      </c>
      <c r="W51" s="3">
        <v>4045</v>
      </c>
      <c r="X51" s="3">
        <v>4019</v>
      </c>
      <c r="Y51" s="3">
        <v>3994</v>
      </c>
      <c r="Z51" s="3">
        <v>3970</v>
      </c>
      <c r="AA51" s="3">
        <v>3947</v>
      </c>
      <c r="AB51" s="3">
        <v>3924</v>
      </c>
      <c r="AC51" s="3">
        <v>3901</v>
      </c>
      <c r="AD51" s="3">
        <v>3880</v>
      </c>
      <c r="AE51" s="3">
        <v>3858</v>
      </c>
      <c r="AF51" s="3">
        <v>3837</v>
      </c>
      <c r="AG51" s="3">
        <v>3817</v>
      </c>
      <c r="AH51" s="3">
        <v>3797</v>
      </c>
      <c r="AI51" s="3">
        <v>3777</v>
      </c>
      <c r="AJ51" s="3">
        <v>3757</v>
      </c>
      <c r="AK51" s="3">
        <v>3738</v>
      </c>
      <c r="AL51" s="3">
        <v>3720</v>
      </c>
      <c r="AM51" s="3">
        <v>3701</v>
      </c>
      <c r="AN51" s="3">
        <v>3683</v>
      </c>
      <c r="AO51" s="3">
        <v>3665</v>
      </c>
      <c r="AP51" s="3">
        <v>3647</v>
      </c>
      <c r="AQ51" s="3">
        <v>3630</v>
      </c>
      <c r="AR51" s="3">
        <v>3612</v>
      </c>
      <c r="AS51" s="3">
        <v>3595</v>
      </c>
      <c r="AT51" s="3">
        <v>3578</v>
      </c>
      <c r="AU51" s="3">
        <v>3562</v>
      </c>
      <c r="AV51" s="3">
        <v>3545</v>
      </c>
      <c r="AW51" s="3">
        <v>3529</v>
      </c>
      <c r="AX51" s="3">
        <v>3513</v>
      </c>
      <c r="AY51" s="3">
        <v>3497</v>
      </c>
      <c r="AZ51" s="3">
        <v>3481</v>
      </c>
      <c r="BA51" s="3">
        <v>3466</v>
      </c>
      <c r="BB51" s="3">
        <v>3450</v>
      </c>
      <c r="BC51" s="3">
        <v>3435</v>
      </c>
      <c r="BD51" s="3">
        <v>3420</v>
      </c>
      <c r="BE51" s="3">
        <v>3406</v>
      </c>
      <c r="BF51" s="3">
        <v>3391</v>
      </c>
      <c r="BG51" s="3">
        <v>3377</v>
      </c>
      <c r="BH51" s="3">
        <v>3362</v>
      </c>
      <c r="BI51" s="3">
        <v>3348</v>
      </c>
      <c r="BJ51" s="3">
        <v>3334</v>
      </c>
      <c r="BK51" s="3">
        <v>3320</v>
      </c>
      <c r="BL51" s="3">
        <v>3306</v>
      </c>
      <c r="BM51" s="3">
        <v>3293</v>
      </c>
      <c r="BN51" s="3">
        <v>3279</v>
      </c>
    </row>
    <row r="52" spans="2:66" x14ac:dyDescent="0.35">
      <c r="B52">
        <v>65</v>
      </c>
      <c r="C52" s="3">
        <v>4492</v>
      </c>
      <c r="D52" s="3">
        <v>4456</v>
      </c>
      <c r="E52" s="3">
        <v>4420</v>
      </c>
      <c r="F52" s="3">
        <v>4386</v>
      </c>
      <c r="G52" s="3">
        <v>4351</v>
      </c>
      <c r="H52" s="3">
        <v>4318</v>
      </c>
      <c r="I52" s="3">
        <v>4285</v>
      </c>
      <c r="J52" s="3">
        <v>4253</v>
      </c>
      <c r="K52" s="3">
        <v>4222</v>
      </c>
      <c r="L52" s="3">
        <v>4191</v>
      </c>
      <c r="M52" s="3">
        <v>4162</v>
      </c>
      <c r="N52" s="3">
        <v>4132</v>
      </c>
      <c r="O52" s="3">
        <v>4104</v>
      </c>
      <c r="P52" s="3">
        <v>4076</v>
      </c>
      <c r="Q52" s="3">
        <v>4049</v>
      </c>
      <c r="R52" s="3">
        <v>4023</v>
      </c>
      <c r="S52" s="3">
        <v>3997</v>
      </c>
      <c r="T52" s="3">
        <v>3972</v>
      </c>
      <c r="U52" s="3">
        <v>3947</v>
      </c>
      <c r="V52" s="3">
        <v>3923</v>
      </c>
      <c r="W52" s="3">
        <v>3900</v>
      </c>
      <c r="X52" s="3">
        <v>3877</v>
      </c>
      <c r="Y52" s="3">
        <v>3855</v>
      </c>
      <c r="Z52" s="3">
        <v>3833</v>
      </c>
      <c r="AA52" s="3">
        <v>3812</v>
      </c>
      <c r="AB52" s="3">
        <v>3791</v>
      </c>
      <c r="AC52" s="3">
        <v>3771</v>
      </c>
      <c r="AD52" s="3">
        <v>3751</v>
      </c>
      <c r="AE52" s="3">
        <v>3731</v>
      </c>
      <c r="AF52" s="3">
        <v>3712</v>
      </c>
      <c r="AG52" s="3">
        <v>3694</v>
      </c>
      <c r="AH52" s="3">
        <v>3675</v>
      </c>
      <c r="AI52" s="3">
        <v>3657</v>
      </c>
      <c r="AJ52" s="3">
        <v>3640</v>
      </c>
      <c r="AK52" s="3">
        <v>3622</v>
      </c>
      <c r="AL52" s="3">
        <v>3605</v>
      </c>
      <c r="AM52" s="3">
        <v>3588</v>
      </c>
      <c r="AN52" s="3">
        <v>3572</v>
      </c>
      <c r="AO52" s="3">
        <v>3555</v>
      </c>
      <c r="AP52" s="3">
        <v>3539</v>
      </c>
      <c r="AQ52" s="3">
        <v>3523</v>
      </c>
      <c r="AR52" s="3">
        <v>3507</v>
      </c>
      <c r="AS52" s="3">
        <v>3491</v>
      </c>
      <c r="AT52" s="3">
        <v>3476</v>
      </c>
      <c r="AU52" s="3">
        <v>3461</v>
      </c>
      <c r="AV52" s="3">
        <v>3446</v>
      </c>
      <c r="AW52" s="3">
        <v>3431</v>
      </c>
      <c r="AX52" s="3">
        <v>3416</v>
      </c>
      <c r="AY52" s="3">
        <v>3401</v>
      </c>
      <c r="AZ52" s="3">
        <v>3387</v>
      </c>
      <c r="BA52" s="3">
        <v>3373</v>
      </c>
      <c r="BB52" s="3">
        <v>3358</v>
      </c>
      <c r="BC52" s="3">
        <v>3344</v>
      </c>
      <c r="BD52" s="3">
        <v>3331</v>
      </c>
      <c r="BE52" s="3">
        <v>3317</v>
      </c>
      <c r="BF52" s="3">
        <v>3304</v>
      </c>
      <c r="BG52" s="3">
        <v>3290</v>
      </c>
      <c r="BH52" s="3">
        <v>3277</v>
      </c>
      <c r="BI52" s="3">
        <v>3264</v>
      </c>
      <c r="BJ52" s="3">
        <v>3251</v>
      </c>
      <c r="BK52" s="3">
        <v>3238</v>
      </c>
      <c r="BL52" s="3">
        <v>3226</v>
      </c>
      <c r="BM52" s="3">
        <v>3213</v>
      </c>
      <c r="BN52" s="3">
        <v>3201</v>
      </c>
    </row>
    <row r="53" spans="2:66" x14ac:dyDescent="0.35">
      <c r="B53">
        <v>66</v>
      </c>
      <c r="C53" s="3">
        <v>4382</v>
      </c>
      <c r="D53" s="3">
        <v>4346</v>
      </c>
      <c r="E53" s="3">
        <v>4311</v>
      </c>
      <c r="F53" s="3">
        <v>4277</v>
      </c>
      <c r="G53" s="3">
        <v>4244</v>
      </c>
      <c r="H53" s="3">
        <v>4211</v>
      </c>
      <c r="I53" s="3">
        <v>4179</v>
      </c>
      <c r="J53" s="3">
        <v>4147</v>
      </c>
      <c r="K53" s="3">
        <v>4117</v>
      </c>
      <c r="L53" s="3">
        <v>4087</v>
      </c>
      <c r="M53" s="3">
        <v>4057</v>
      </c>
      <c r="N53" s="3">
        <v>4029</v>
      </c>
      <c r="O53" s="3">
        <v>4001</v>
      </c>
      <c r="P53" s="3">
        <v>3974</v>
      </c>
      <c r="Q53" s="3">
        <v>3947</v>
      </c>
      <c r="R53" s="3">
        <v>3921</v>
      </c>
      <c r="S53" s="3">
        <v>3896</v>
      </c>
      <c r="T53" s="3">
        <v>3871</v>
      </c>
      <c r="U53" s="3">
        <v>3847</v>
      </c>
      <c r="V53" s="3">
        <v>3824</v>
      </c>
      <c r="W53" s="3">
        <v>3801</v>
      </c>
      <c r="X53" s="3">
        <v>3779</v>
      </c>
      <c r="Y53" s="3">
        <v>3757</v>
      </c>
      <c r="Z53" s="3">
        <v>3736</v>
      </c>
      <c r="AA53" s="3">
        <v>3715</v>
      </c>
      <c r="AB53" s="3">
        <v>3695</v>
      </c>
      <c r="AC53" s="3">
        <v>3675</v>
      </c>
      <c r="AD53" s="3">
        <v>3655</v>
      </c>
      <c r="AE53" s="3">
        <v>3636</v>
      </c>
      <c r="AF53" s="3">
        <v>3618</v>
      </c>
      <c r="AG53" s="3">
        <v>3600</v>
      </c>
      <c r="AH53" s="3">
        <v>3582</v>
      </c>
      <c r="AI53" s="3">
        <v>3564</v>
      </c>
      <c r="AJ53" s="3">
        <v>3547</v>
      </c>
      <c r="AK53" s="3">
        <v>3530</v>
      </c>
      <c r="AL53" s="3">
        <v>3513</v>
      </c>
      <c r="AM53" s="3">
        <v>3496</v>
      </c>
      <c r="AN53" s="3">
        <v>3480</v>
      </c>
      <c r="AO53" s="3">
        <v>3464</v>
      </c>
      <c r="AP53" s="3">
        <v>3448</v>
      </c>
      <c r="AQ53" s="3">
        <v>3432</v>
      </c>
      <c r="AR53" s="3">
        <v>3417</v>
      </c>
      <c r="AS53" s="3">
        <v>3401</v>
      </c>
      <c r="AT53" s="3">
        <v>3386</v>
      </c>
      <c r="AU53" s="3">
        <v>3371</v>
      </c>
      <c r="AV53" s="3">
        <v>3357</v>
      </c>
      <c r="AW53" s="3">
        <v>3342</v>
      </c>
      <c r="AX53" s="3">
        <v>3327</v>
      </c>
      <c r="AY53" s="3">
        <v>3313</v>
      </c>
      <c r="AZ53" s="3">
        <v>3299</v>
      </c>
      <c r="BA53" s="3">
        <v>3285</v>
      </c>
      <c r="BB53" s="3">
        <v>3271</v>
      </c>
      <c r="BC53" s="3">
        <v>3257</v>
      </c>
      <c r="BD53" s="3">
        <v>3244</v>
      </c>
      <c r="BE53" s="3">
        <v>3231</v>
      </c>
      <c r="BF53" s="3">
        <v>3217</v>
      </c>
      <c r="BG53" s="3">
        <v>3204</v>
      </c>
      <c r="BH53" s="3">
        <v>3191</v>
      </c>
      <c r="BI53" s="3">
        <v>3179</v>
      </c>
      <c r="BJ53" s="3">
        <v>3166</v>
      </c>
      <c r="BK53" s="3">
        <v>3154</v>
      </c>
      <c r="BL53" s="3">
        <v>3141</v>
      </c>
      <c r="BM53" s="3">
        <v>3129</v>
      </c>
      <c r="BN53" s="3">
        <v>3117</v>
      </c>
    </row>
    <row r="54" spans="2:66" x14ac:dyDescent="0.35">
      <c r="B54">
        <v>67</v>
      </c>
      <c r="C54" s="3">
        <v>4258</v>
      </c>
      <c r="D54" s="3">
        <v>4224</v>
      </c>
      <c r="E54" s="3">
        <v>4190</v>
      </c>
      <c r="F54" s="3">
        <v>4157</v>
      </c>
      <c r="G54" s="3">
        <v>4124</v>
      </c>
      <c r="H54" s="3">
        <v>4092</v>
      </c>
      <c r="I54" s="3">
        <v>4061</v>
      </c>
      <c r="J54" s="3">
        <v>4030</v>
      </c>
      <c r="K54" s="3">
        <v>4000</v>
      </c>
      <c r="L54" s="3">
        <v>3971</v>
      </c>
      <c r="M54" s="3">
        <v>3943</v>
      </c>
      <c r="N54" s="3">
        <v>3915</v>
      </c>
      <c r="O54" s="3">
        <v>3888</v>
      </c>
      <c r="P54" s="3">
        <v>3861</v>
      </c>
      <c r="Q54" s="3">
        <v>3836</v>
      </c>
      <c r="R54" s="3">
        <v>3810</v>
      </c>
      <c r="S54" s="3">
        <v>3786</v>
      </c>
      <c r="T54" s="3">
        <v>3762</v>
      </c>
      <c r="U54" s="3">
        <v>3739</v>
      </c>
      <c r="V54" s="3">
        <v>3716</v>
      </c>
      <c r="W54" s="3">
        <v>3694</v>
      </c>
      <c r="X54" s="3">
        <v>3672</v>
      </c>
      <c r="Y54" s="3">
        <v>3651</v>
      </c>
      <c r="Z54" s="3">
        <v>3630</v>
      </c>
      <c r="AA54" s="3">
        <v>3610</v>
      </c>
      <c r="AB54" s="3">
        <v>3590</v>
      </c>
      <c r="AC54" s="3">
        <v>3571</v>
      </c>
      <c r="AD54" s="3">
        <v>3552</v>
      </c>
      <c r="AE54" s="3">
        <v>3534</v>
      </c>
      <c r="AF54" s="3">
        <v>3515</v>
      </c>
      <c r="AG54" s="3">
        <v>3498</v>
      </c>
      <c r="AH54" s="3">
        <v>3480</v>
      </c>
      <c r="AI54" s="3">
        <v>3463</v>
      </c>
      <c r="AJ54" s="3">
        <v>3446</v>
      </c>
      <c r="AK54" s="3">
        <v>3430</v>
      </c>
      <c r="AL54" s="3">
        <v>3413</v>
      </c>
      <c r="AM54" s="3">
        <v>3397</v>
      </c>
      <c r="AN54" s="3">
        <v>3381</v>
      </c>
      <c r="AO54" s="3">
        <v>3366</v>
      </c>
      <c r="AP54" s="3">
        <v>3350</v>
      </c>
      <c r="AQ54" s="3">
        <v>3335</v>
      </c>
      <c r="AR54" s="3">
        <v>3320</v>
      </c>
      <c r="AS54" s="3">
        <v>3305</v>
      </c>
      <c r="AT54" s="3">
        <v>3290</v>
      </c>
      <c r="AU54" s="3">
        <v>3275</v>
      </c>
      <c r="AV54" s="3">
        <v>3261</v>
      </c>
      <c r="AW54" s="3">
        <v>3247</v>
      </c>
      <c r="AX54" s="3">
        <v>3233</v>
      </c>
      <c r="AY54" s="3">
        <v>3219</v>
      </c>
      <c r="AZ54" s="3">
        <v>3205</v>
      </c>
      <c r="BA54" s="3">
        <v>3191</v>
      </c>
      <c r="BB54" s="3">
        <v>3178</v>
      </c>
      <c r="BC54" s="3">
        <v>3165</v>
      </c>
      <c r="BD54" s="3">
        <v>3151</v>
      </c>
      <c r="BE54" s="3">
        <v>3138</v>
      </c>
      <c r="BF54" s="3">
        <v>3125</v>
      </c>
      <c r="BG54" s="3">
        <v>3113</v>
      </c>
      <c r="BH54" s="3">
        <v>3100</v>
      </c>
      <c r="BI54" s="3">
        <v>3088</v>
      </c>
      <c r="BJ54" s="3">
        <v>3075</v>
      </c>
      <c r="BK54" s="3">
        <v>3063</v>
      </c>
      <c r="BL54" s="3">
        <v>3051</v>
      </c>
      <c r="BM54" s="3">
        <v>3040</v>
      </c>
      <c r="BN54" s="3">
        <v>3028</v>
      </c>
    </row>
    <row r="55" spans="2:66" x14ac:dyDescent="0.35">
      <c r="B55">
        <v>68</v>
      </c>
      <c r="C55" s="3">
        <v>4120</v>
      </c>
      <c r="D55" s="3">
        <v>4087</v>
      </c>
      <c r="E55" s="3">
        <v>4054</v>
      </c>
      <c r="F55" s="3">
        <v>4022</v>
      </c>
      <c r="G55" s="3">
        <v>3991</v>
      </c>
      <c r="H55" s="3">
        <v>3960</v>
      </c>
      <c r="I55" s="3">
        <v>3930</v>
      </c>
      <c r="J55" s="3">
        <v>3900</v>
      </c>
      <c r="K55" s="3">
        <v>3872</v>
      </c>
      <c r="L55" s="3">
        <v>3843</v>
      </c>
      <c r="M55" s="3">
        <v>3816</v>
      </c>
      <c r="N55" s="3">
        <v>3789</v>
      </c>
      <c r="O55" s="3">
        <v>3763</v>
      </c>
      <c r="P55" s="3">
        <v>3738</v>
      </c>
      <c r="Q55" s="3">
        <v>3713</v>
      </c>
      <c r="R55" s="3">
        <v>3688</v>
      </c>
      <c r="S55" s="3">
        <v>3665</v>
      </c>
      <c r="T55" s="3">
        <v>3642</v>
      </c>
      <c r="U55" s="3">
        <v>3619</v>
      </c>
      <c r="V55" s="3">
        <v>3597</v>
      </c>
      <c r="W55" s="3">
        <v>3576</v>
      </c>
      <c r="X55" s="3">
        <v>3555</v>
      </c>
      <c r="Y55" s="3">
        <v>3535</v>
      </c>
      <c r="Z55" s="3">
        <v>3515</v>
      </c>
      <c r="AA55" s="3">
        <v>3495</v>
      </c>
      <c r="AB55" s="3">
        <v>3476</v>
      </c>
      <c r="AC55" s="3">
        <v>3457</v>
      </c>
      <c r="AD55" s="3">
        <v>3439</v>
      </c>
      <c r="AE55" s="3">
        <v>3421</v>
      </c>
      <c r="AF55" s="3">
        <v>3404</v>
      </c>
      <c r="AG55" s="3">
        <v>3387</v>
      </c>
      <c r="AH55" s="3">
        <v>3370</v>
      </c>
      <c r="AI55" s="3">
        <v>3353</v>
      </c>
      <c r="AJ55" s="3">
        <v>3337</v>
      </c>
      <c r="AK55" s="3">
        <v>3321</v>
      </c>
      <c r="AL55" s="3">
        <v>3305</v>
      </c>
      <c r="AM55" s="3">
        <v>3290</v>
      </c>
      <c r="AN55" s="3">
        <v>3274</v>
      </c>
      <c r="AO55" s="3">
        <v>3259</v>
      </c>
      <c r="AP55" s="3">
        <v>3244</v>
      </c>
      <c r="AQ55" s="3">
        <v>3229</v>
      </c>
      <c r="AR55" s="3">
        <v>3215</v>
      </c>
      <c r="AS55" s="3">
        <v>3200</v>
      </c>
      <c r="AT55" s="3">
        <v>3186</v>
      </c>
      <c r="AU55" s="3">
        <v>3172</v>
      </c>
      <c r="AV55" s="3">
        <v>3158</v>
      </c>
      <c r="AW55" s="3">
        <v>3144</v>
      </c>
      <c r="AX55" s="3">
        <v>3130</v>
      </c>
      <c r="AY55" s="3">
        <v>3117</v>
      </c>
      <c r="AZ55" s="3">
        <v>3104</v>
      </c>
      <c r="BA55" s="3">
        <v>3090</v>
      </c>
      <c r="BB55" s="3">
        <v>3077</v>
      </c>
      <c r="BC55" s="3">
        <v>3065</v>
      </c>
      <c r="BD55" s="3">
        <v>3052</v>
      </c>
      <c r="BE55" s="3">
        <v>3039</v>
      </c>
      <c r="BF55" s="3">
        <v>3027</v>
      </c>
      <c r="BG55" s="3">
        <v>3014</v>
      </c>
      <c r="BH55" s="3">
        <v>3002</v>
      </c>
      <c r="BI55" s="3">
        <v>2990</v>
      </c>
      <c r="BJ55" s="3">
        <v>2978</v>
      </c>
      <c r="BK55" s="3">
        <v>2967</v>
      </c>
      <c r="BL55" s="3">
        <v>2955</v>
      </c>
      <c r="BM55" s="3">
        <v>2944</v>
      </c>
      <c r="BN55" s="3">
        <v>2932</v>
      </c>
    </row>
    <row r="56" spans="2:66" x14ac:dyDescent="0.35">
      <c r="B56">
        <v>69</v>
      </c>
      <c r="C56" s="3">
        <v>3953</v>
      </c>
      <c r="D56" s="3">
        <v>3921</v>
      </c>
      <c r="E56" s="3">
        <v>3890</v>
      </c>
      <c r="F56" s="3">
        <v>3860</v>
      </c>
      <c r="G56" s="3">
        <v>3830</v>
      </c>
      <c r="H56" s="3">
        <v>3801</v>
      </c>
      <c r="I56" s="3">
        <v>3772</v>
      </c>
      <c r="J56" s="3">
        <v>3744</v>
      </c>
      <c r="K56" s="3">
        <v>3717</v>
      </c>
      <c r="L56" s="3">
        <v>3690</v>
      </c>
      <c r="M56" s="3">
        <v>3665</v>
      </c>
      <c r="N56" s="3">
        <v>3639</v>
      </c>
      <c r="O56" s="3">
        <v>3614</v>
      </c>
      <c r="P56" s="3">
        <v>3590</v>
      </c>
      <c r="Q56" s="3">
        <v>3567</v>
      </c>
      <c r="R56" s="3">
        <v>3544</v>
      </c>
      <c r="S56" s="3">
        <v>3521</v>
      </c>
      <c r="T56" s="3">
        <v>3500</v>
      </c>
      <c r="U56" s="3">
        <v>3478</v>
      </c>
      <c r="V56" s="3">
        <v>3457</v>
      </c>
      <c r="W56" s="3">
        <v>3437</v>
      </c>
      <c r="X56" s="3">
        <v>3417</v>
      </c>
      <c r="Y56" s="3">
        <v>3398</v>
      </c>
      <c r="Z56" s="3">
        <v>3379</v>
      </c>
      <c r="AA56" s="3">
        <v>3360</v>
      </c>
      <c r="AB56" s="3">
        <v>3342</v>
      </c>
      <c r="AC56" s="3">
        <v>3325</v>
      </c>
      <c r="AD56" s="3">
        <v>3307</v>
      </c>
      <c r="AE56" s="3">
        <v>3290</v>
      </c>
      <c r="AF56" s="3">
        <v>3274</v>
      </c>
      <c r="AG56" s="3">
        <v>3257</v>
      </c>
      <c r="AH56" s="3">
        <v>3241</v>
      </c>
      <c r="AI56" s="3">
        <v>3226</v>
      </c>
      <c r="AJ56" s="3">
        <v>3210</v>
      </c>
      <c r="AK56" s="3">
        <v>3195</v>
      </c>
      <c r="AL56" s="3">
        <v>3180</v>
      </c>
      <c r="AM56" s="3">
        <v>3165</v>
      </c>
      <c r="AN56" s="3">
        <v>3150</v>
      </c>
      <c r="AO56" s="3">
        <v>3136</v>
      </c>
      <c r="AP56" s="3">
        <v>3121</v>
      </c>
      <c r="AQ56" s="3">
        <v>3107</v>
      </c>
      <c r="AR56" s="3">
        <v>3093</v>
      </c>
      <c r="AS56" s="3">
        <v>3079</v>
      </c>
      <c r="AT56" s="3">
        <v>3066</v>
      </c>
      <c r="AU56" s="3">
        <v>3052</v>
      </c>
      <c r="AV56" s="3">
        <v>3039</v>
      </c>
      <c r="AW56" s="3">
        <v>3026</v>
      </c>
      <c r="AX56" s="3">
        <v>3013</v>
      </c>
      <c r="AY56" s="3">
        <v>3000</v>
      </c>
      <c r="AZ56" s="3">
        <v>2987</v>
      </c>
      <c r="BA56" s="3">
        <v>2974</v>
      </c>
      <c r="BB56" s="3">
        <v>2962</v>
      </c>
      <c r="BC56" s="3">
        <v>2950</v>
      </c>
      <c r="BD56" s="3">
        <v>2938</v>
      </c>
      <c r="BE56" s="3">
        <v>2926</v>
      </c>
      <c r="BF56" s="3">
        <v>2914</v>
      </c>
      <c r="BG56" s="3">
        <v>2902</v>
      </c>
      <c r="BH56" s="3">
        <v>2890</v>
      </c>
      <c r="BI56" s="3">
        <v>2879</v>
      </c>
      <c r="BJ56" s="3">
        <v>2867</v>
      </c>
      <c r="BK56" s="3">
        <v>2856</v>
      </c>
      <c r="BL56" s="3">
        <v>2845</v>
      </c>
      <c r="BM56" s="3">
        <v>2834</v>
      </c>
      <c r="BN56" s="3">
        <v>2823</v>
      </c>
    </row>
    <row r="59" spans="2:66" x14ac:dyDescent="0.35">
      <c r="H59">
        <f>165*12</f>
        <v>1980</v>
      </c>
    </row>
  </sheetData>
  <sheetProtection algorithmName="SHA-512" hashValue="IYG5nq5ReciprZlpckO0zfa5trURITTtJrth4dCzRnhLsV4VfBDimWSOUsNzmVA1/SF8c0/NOMvCWVYu1IstPw==" saltValue="MebdH5iGXJGlDVDSPPkNNA==" spinCount="100000" sheet="1" objects="1" scenarios="1"/>
  <pageMargins left="0.75" right="0.75" top="1" bottom="1" header="0.5" footer="0.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B2:V66"/>
  <sheetViews>
    <sheetView workbookViewId="0">
      <selection activeCell="G14" sqref="G14"/>
    </sheetView>
  </sheetViews>
  <sheetFormatPr defaultRowHeight="14.5" x14ac:dyDescent="0.35"/>
  <cols>
    <col min="2" max="2" width="15.81640625" bestFit="1" customWidth="1"/>
  </cols>
  <sheetData>
    <row r="2" spans="2:22" x14ac:dyDescent="0.35">
      <c r="B2" t="s">
        <v>84</v>
      </c>
      <c r="C2" t="s">
        <v>85</v>
      </c>
      <c r="D2" t="s">
        <v>86</v>
      </c>
      <c r="E2" t="s">
        <v>87</v>
      </c>
      <c r="F2" t="s">
        <v>88</v>
      </c>
      <c r="G2" t="s">
        <v>89</v>
      </c>
      <c r="H2" t="s">
        <v>90</v>
      </c>
      <c r="I2" t="s">
        <v>91</v>
      </c>
      <c r="J2" t="s">
        <v>92</v>
      </c>
      <c r="K2" t="s">
        <v>93</v>
      </c>
      <c r="L2" t="s">
        <v>94</v>
      </c>
      <c r="M2" t="s">
        <v>95</v>
      </c>
      <c r="N2" t="s">
        <v>96</v>
      </c>
      <c r="O2" t="s">
        <v>97</v>
      </c>
      <c r="P2" t="s">
        <v>98</v>
      </c>
      <c r="Q2" t="s">
        <v>99</v>
      </c>
      <c r="R2" t="s">
        <v>100</v>
      </c>
      <c r="S2" t="s">
        <v>101</v>
      </c>
      <c r="T2" t="s">
        <v>102</v>
      </c>
      <c r="U2" t="s">
        <v>103</v>
      </c>
      <c r="V2" t="s">
        <v>104</v>
      </c>
    </row>
    <row r="3" spans="2:22" x14ac:dyDescent="0.35">
      <c r="B3" s="8">
        <v>1952</v>
      </c>
      <c r="M3" s="1">
        <v>6.7999999999999996E-3</v>
      </c>
      <c r="N3" s="1">
        <v>7.7000000000000002E-3</v>
      </c>
      <c r="O3" s="1">
        <v>8.6999999999999994E-3</v>
      </c>
      <c r="P3" s="1">
        <v>9.9000000000000008E-3</v>
      </c>
      <c r="Q3" s="1">
        <v>1.1299999999999999E-2</v>
      </c>
      <c r="R3" s="1">
        <v>1.2999999999999999E-2</v>
      </c>
      <c r="S3" s="1">
        <v>1.4999999999999999E-2</v>
      </c>
      <c r="T3" s="1">
        <v>1.7500000000000002E-2</v>
      </c>
      <c r="U3" s="1">
        <v>2.06E-2</v>
      </c>
      <c r="V3" s="1">
        <v>2.4500000000000001E-2</v>
      </c>
    </row>
    <row r="4" spans="2:22" x14ac:dyDescent="0.35">
      <c r="B4">
        <v>1953</v>
      </c>
      <c r="L4" s="1">
        <v>6.4000000000000003E-3</v>
      </c>
      <c r="M4" s="1">
        <v>6.7999999999999996E-3</v>
      </c>
      <c r="N4" s="1">
        <v>7.7000000000000002E-3</v>
      </c>
      <c r="O4" s="1">
        <v>8.6999999999999994E-3</v>
      </c>
      <c r="P4" s="1">
        <v>9.7999999999999997E-3</v>
      </c>
      <c r="Q4" s="1">
        <v>1.12E-2</v>
      </c>
      <c r="R4" s="1">
        <v>1.29E-2</v>
      </c>
      <c r="S4" s="1">
        <v>1.4999999999999999E-2</v>
      </c>
      <c r="T4" s="1">
        <v>1.7399999999999999E-2</v>
      </c>
      <c r="U4" s="1">
        <v>2.0500000000000001E-2</v>
      </c>
      <c r="V4" s="1">
        <v>2.4299999999999999E-2</v>
      </c>
    </row>
    <row r="5" spans="2:22" x14ac:dyDescent="0.35">
      <c r="B5">
        <v>1954</v>
      </c>
      <c r="K5" s="1">
        <v>5.5999999999999999E-3</v>
      </c>
      <c r="L5" s="1">
        <v>6.4000000000000003E-3</v>
      </c>
      <c r="M5" s="1">
        <v>6.7999999999999996E-3</v>
      </c>
      <c r="N5" s="1">
        <v>7.6E-3</v>
      </c>
      <c r="O5" s="1">
        <v>8.6E-3</v>
      </c>
      <c r="P5" s="1">
        <v>9.7999999999999997E-3</v>
      </c>
      <c r="Q5" s="1">
        <v>1.12E-2</v>
      </c>
      <c r="R5" s="1">
        <v>1.29E-2</v>
      </c>
      <c r="S5" s="1">
        <v>1.49E-2</v>
      </c>
      <c r="T5" s="1">
        <v>1.7299999999999999E-2</v>
      </c>
      <c r="U5" s="1">
        <v>2.0400000000000001E-2</v>
      </c>
      <c r="V5" s="1">
        <v>2.41E-2</v>
      </c>
    </row>
    <row r="6" spans="2:22" x14ac:dyDescent="0.35">
      <c r="B6">
        <v>1955</v>
      </c>
      <c r="J6" s="1">
        <v>5.0000000000000001E-3</v>
      </c>
      <c r="K6" s="1">
        <v>5.5999999999999999E-3</v>
      </c>
      <c r="L6" s="1">
        <v>6.3E-3</v>
      </c>
      <c r="M6" s="1">
        <v>6.7999999999999996E-3</v>
      </c>
      <c r="N6" s="1">
        <v>7.6E-3</v>
      </c>
      <c r="O6" s="1">
        <v>8.6E-3</v>
      </c>
      <c r="P6" s="1">
        <v>9.7999999999999997E-3</v>
      </c>
      <c r="Q6" s="1">
        <v>1.11E-2</v>
      </c>
      <c r="R6" s="1">
        <v>1.2800000000000001E-2</v>
      </c>
      <c r="S6" s="1">
        <v>1.4800000000000001E-2</v>
      </c>
      <c r="T6" s="1">
        <v>1.72E-2</v>
      </c>
      <c r="U6" s="1">
        <v>2.0299999999999999E-2</v>
      </c>
      <c r="V6" s="1">
        <v>2.4E-2</v>
      </c>
    </row>
    <row r="7" spans="2:22" x14ac:dyDescent="0.35">
      <c r="B7">
        <v>1956</v>
      </c>
      <c r="I7" s="1">
        <v>4.4000000000000003E-3</v>
      </c>
      <c r="J7" s="1">
        <v>5.0000000000000001E-3</v>
      </c>
      <c r="K7" s="1">
        <v>5.5999999999999999E-3</v>
      </c>
      <c r="L7" s="1">
        <v>6.3E-3</v>
      </c>
      <c r="M7" s="1">
        <v>6.7999999999999996E-3</v>
      </c>
      <c r="N7" s="1">
        <v>7.6E-3</v>
      </c>
      <c r="O7" s="1">
        <v>8.6E-3</v>
      </c>
      <c r="P7" s="1">
        <v>9.7000000000000003E-3</v>
      </c>
      <c r="Q7" s="1">
        <v>1.11E-2</v>
      </c>
      <c r="R7" s="1">
        <v>1.2699999999999999E-2</v>
      </c>
      <c r="S7" s="1">
        <v>1.47E-2</v>
      </c>
      <c r="T7" s="1">
        <v>1.72E-2</v>
      </c>
      <c r="U7" s="1">
        <v>2.01E-2</v>
      </c>
      <c r="V7" s="1">
        <v>2.3800000000000002E-2</v>
      </c>
    </row>
    <row r="8" spans="2:22" x14ac:dyDescent="0.35">
      <c r="B8">
        <v>1957</v>
      </c>
      <c r="H8" s="1">
        <v>4.0000000000000001E-3</v>
      </c>
      <c r="I8" s="1">
        <v>4.4000000000000003E-3</v>
      </c>
      <c r="J8" s="1">
        <v>5.0000000000000001E-3</v>
      </c>
      <c r="K8" s="1">
        <v>5.5999999999999999E-3</v>
      </c>
      <c r="L8" s="1">
        <v>6.3E-3</v>
      </c>
      <c r="M8" s="1">
        <v>6.7000000000000002E-3</v>
      </c>
      <c r="N8" s="1">
        <v>7.6E-3</v>
      </c>
      <c r="O8" s="1">
        <v>8.5000000000000006E-3</v>
      </c>
      <c r="P8" s="1">
        <v>9.7000000000000003E-3</v>
      </c>
      <c r="Q8" s="1">
        <v>1.0999999999999999E-2</v>
      </c>
      <c r="R8" s="1">
        <v>1.2699999999999999E-2</v>
      </c>
      <c r="S8" s="1">
        <v>1.47E-2</v>
      </c>
      <c r="T8" s="1">
        <v>1.7100000000000001E-2</v>
      </c>
      <c r="U8" s="1">
        <v>0.02</v>
      </c>
      <c r="V8" s="1">
        <v>2.3699999999999999E-2</v>
      </c>
    </row>
    <row r="9" spans="2:22" x14ac:dyDescent="0.35">
      <c r="B9">
        <v>1958</v>
      </c>
      <c r="G9" s="1">
        <v>3.5999999999999999E-3</v>
      </c>
      <c r="H9" s="1">
        <v>4.0000000000000001E-3</v>
      </c>
      <c r="I9" s="1">
        <v>4.4000000000000003E-3</v>
      </c>
      <c r="J9" s="1">
        <v>4.8999999999999998E-3</v>
      </c>
      <c r="K9" s="1">
        <v>5.4999999999999997E-3</v>
      </c>
      <c r="L9" s="1">
        <v>6.3E-3</v>
      </c>
      <c r="M9" s="1">
        <v>6.7000000000000002E-3</v>
      </c>
      <c r="N9" s="1">
        <v>7.4999999999999997E-3</v>
      </c>
      <c r="O9" s="1">
        <v>8.5000000000000006E-3</v>
      </c>
      <c r="P9" s="1">
        <v>9.5999999999999992E-3</v>
      </c>
      <c r="Q9" s="1">
        <v>1.0999999999999999E-2</v>
      </c>
      <c r="R9" s="1">
        <v>1.26E-2</v>
      </c>
      <c r="S9" s="1">
        <v>1.46E-2</v>
      </c>
      <c r="T9" s="1">
        <v>1.7000000000000001E-2</v>
      </c>
      <c r="U9" s="1">
        <v>1.9900000000000001E-2</v>
      </c>
      <c r="V9" s="1">
        <v>2.35E-2</v>
      </c>
    </row>
    <row r="10" spans="2:22" x14ac:dyDescent="0.35">
      <c r="B10">
        <v>1959</v>
      </c>
      <c r="F10" s="1">
        <v>3.3E-3</v>
      </c>
      <c r="G10" s="1">
        <v>3.5999999999999999E-3</v>
      </c>
      <c r="H10" s="1">
        <v>4.0000000000000001E-3</v>
      </c>
      <c r="I10" s="1">
        <v>4.4000000000000003E-3</v>
      </c>
      <c r="J10" s="1">
        <v>4.8999999999999998E-3</v>
      </c>
      <c r="K10" s="1">
        <v>5.4999999999999997E-3</v>
      </c>
      <c r="L10" s="1">
        <v>6.1999999999999998E-3</v>
      </c>
      <c r="M10" s="1">
        <v>6.7000000000000002E-3</v>
      </c>
      <c r="N10" s="1">
        <v>7.4999999999999997E-3</v>
      </c>
      <c r="O10" s="1">
        <v>8.5000000000000006E-3</v>
      </c>
      <c r="P10" s="1">
        <v>9.5999999999999992E-3</v>
      </c>
      <c r="Q10" s="1">
        <v>1.0999999999999999E-2</v>
      </c>
      <c r="R10" s="1">
        <v>1.26E-2</v>
      </c>
      <c r="S10" s="1">
        <v>1.4500000000000001E-2</v>
      </c>
      <c r="T10" s="1">
        <v>1.6899999999999998E-2</v>
      </c>
      <c r="U10" s="1">
        <v>1.9800000000000002E-2</v>
      </c>
      <c r="V10" s="1">
        <v>2.3400000000000001E-2</v>
      </c>
    </row>
    <row r="11" spans="2:22" x14ac:dyDescent="0.35">
      <c r="B11">
        <v>1960</v>
      </c>
      <c r="E11" s="1">
        <v>3.0000000000000001E-3</v>
      </c>
      <c r="F11" s="1">
        <v>3.3E-3</v>
      </c>
      <c r="G11" s="1">
        <v>3.5999999999999999E-3</v>
      </c>
      <c r="H11" s="1">
        <v>4.0000000000000001E-3</v>
      </c>
      <c r="I11" s="1">
        <v>4.4000000000000003E-3</v>
      </c>
      <c r="J11" s="1">
        <v>4.8999999999999998E-3</v>
      </c>
      <c r="K11" s="1">
        <v>5.4999999999999997E-3</v>
      </c>
      <c r="L11" s="1">
        <v>6.1999999999999998E-3</v>
      </c>
      <c r="M11" s="1">
        <v>6.7000000000000002E-3</v>
      </c>
      <c r="N11" s="1">
        <v>7.4999999999999997E-3</v>
      </c>
      <c r="O11" s="1">
        <v>8.3999999999999995E-3</v>
      </c>
      <c r="P11" s="1">
        <v>9.5999999999999992E-3</v>
      </c>
      <c r="Q11" s="1">
        <v>1.09E-2</v>
      </c>
      <c r="R11" s="1">
        <v>1.2500000000000001E-2</v>
      </c>
      <c r="S11" s="1">
        <v>1.44E-2</v>
      </c>
      <c r="T11" s="1">
        <v>1.6799999999999999E-2</v>
      </c>
      <c r="U11" s="1">
        <v>1.9699999999999999E-2</v>
      </c>
      <c r="V11" s="1">
        <v>2.3300000000000001E-2</v>
      </c>
    </row>
    <row r="12" spans="2:22" x14ac:dyDescent="0.35">
      <c r="B12">
        <v>1961</v>
      </c>
      <c r="D12" s="1">
        <v>2.7000000000000001E-3</v>
      </c>
      <c r="E12" s="1">
        <v>3.0000000000000001E-3</v>
      </c>
      <c r="F12" s="1">
        <v>3.2000000000000002E-3</v>
      </c>
      <c r="G12" s="1">
        <v>3.5999999999999999E-3</v>
      </c>
      <c r="H12" s="1">
        <v>4.0000000000000001E-3</v>
      </c>
      <c r="I12" s="1">
        <v>4.4000000000000003E-3</v>
      </c>
      <c r="J12" s="1">
        <v>4.8999999999999998E-3</v>
      </c>
      <c r="K12" s="1">
        <v>5.4999999999999997E-3</v>
      </c>
      <c r="L12" s="1">
        <v>6.1999999999999998E-3</v>
      </c>
      <c r="M12" s="1">
        <v>6.7000000000000002E-3</v>
      </c>
      <c r="N12" s="1">
        <v>7.4999999999999997E-3</v>
      </c>
      <c r="O12" s="1">
        <v>8.3999999999999995E-3</v>
      </c>
      <c r="P12" s="1">
        <v>9.4999999999999998E-3</v>
      </c>
      <c r="Q12" s="1">
        <v>1.09E-2</v>
      </c>
      <c r="R12" s="1">
        <v>1.2500000000000001E-2</v>
      </c>
      <c r="S12" s="1">
        <v>1.44E-2</v>
      </c>
      <c r="T12" s="1">
        <v>1.67E-2</v>
      </c>
      <c r="U12" s="1">
        <v>1.9599999999999999E-2</v>
      </c>
      <c r="V12" s="1">
        <v>2.3099999999999999E-2</v>
      </c>
    </row>
    <row r="13" spans="2:22" x14ac:dyDescent="0.35">
      <c r="B13">
        <v>1962</v>
      </c>
      <c r="C13" s="1">
        <v>2.5000000000000001E-3</v>
      </c>
      <c r="D13" s="1">
        <v>2.7000000000000001E-3</v>
      </c>
      <c r="E13" s="1">
        <v>3.0000000000000001E-3</v>
      </c>
      <c r="F13" s="1">
        <v>3.2000000000000002E-3</v>
      </c>
      <c r="G13" s="1">
        <v>3.5999999999999999E-3</v>
      </c>
      <c r="H13" s="1">
        <v>3.8999999999999998E-3</v>
      </c>
      <c r="I13" s="1">
        <v>4.4000000000000003E-3</v>
      </c>
      <c r="J13" s="1">
        <v>4.8999999999999998E-3</v>
      </c>
      <c r="K13" s="1">
        <v>5.4999999999999997E-3</v>
      </c>
      <c r="L13" s="1">
        <v>6.1999999999999998E-3</v>
      </c>
      <c r="M13" s="1">
        <v>6.6E-3</v>
      </c>
      <c r="N13" s="1">
        <v>7.4000000000000003E-3</v>
      </c>
      <c r="O13" s="1">
        <v>8.3999999999999995E-3</v>
      </c>
      <c r="P13" s="1">
        <v>9.4999999999999998E-3</v>
      </c>
      <c r="Q13" s="1">
        <v>1.0800000000000001E-2</v>
      </c>
      <c r="R13" s="1">
        <v>1.24E-2</v>
      </c>
      <c r="S13" s="1">
        <v>1.43E-2</v>
      </c>
      <c r="T13" s="1">
        <v>1.66E-2</v>
      </c>
      <c r="U13" s="1">
        <v>1.95E-2</v>
      </c>
      <c r="V13" s="1">
        <v>2.3E-2</v>
      </c>
    </row>
    <row r="14" spans="2:22" x14ac:dyDescent="0.35">
      <c r="B14">
        <v>1963</v>
      </c>
      <c r="C14" s="1">
        <v>2.5000000000000001E-3</v>
      </c>
      <c r="D14" s="1">
        <v>2.7000000000000001E-3</v>
      </c>
      <c r="E14" s="1">
        <v>3.0000000000000001E-3</v>
      </c>
      <c r="F14" s="1">
        <v>3.2000000000000002E-3</v>
      </c>
      <c r="G14" s="1">
        <v>3.5999999999999999E-3</v>
      </c>
      <c r="H14" s="1">
        <v>3.8999999999999998E-3</v>
      </c>
      <c r="I14" s="1">
        <v>4.4000000000000003E-3</v>
      </c>
      <c r="J14" s="1">
        <v>4.8999999999999998E-3</v>
      </c>
      <c r="K14" s="1">
        <v>5.4999999999999997E-3</v>
      </c>
      <c r="L14" s="1">
        <v>6.1999999999999998E-3</v>
      </c>
      <c r="M14" s="1">
        <v>6.6E-3</v>
      </c>
      <c r="N14" s="1">
        <v>7.4000000000000003E-3</v>
      </c>
      <c r="O14" s="1">
        <v>8.3999999999999995E-3</v>
      </c>
      <c r="P14" s="1">
        <v>9.4999999999999998E-3</v>
      </c>
      <c r="Q14" s="1">
        <v>1.0800000000000001E-2</v>
      </c>
      <c r="R14" s="1">
        <v>1.23E-2</v>
      </c>
      <c r="S14" s="1">
        <v>1.4200000000000001E-2</v>
      </c>
      <c r="T14" s="1">
        <v>1.6500000000000001E-2</v>
      </c>
      <c r="U14" s="1">
        <v>1.9400000000000001E-2</v>
      </c>
      <c r="V14" s="1">
        <v>2.29E-2</v>
      </c>
    </row>
    <row r="15" spans="2:22" x14ac:dyDescent="0.35">
      <c r="B15">
        <v>1964</v>
      </c>
      <c r="C15" s="1">
        <v>2.5000000000000001E-3</v>
      </c>
      <c r="D15" s="1">
        <v>2.7000000000000001E-3</v>
      </c>
      <c r="E15" s="1">
        <v>3.0000000000000001E-3</v>
      </c>
      <c r="F15" s="1">
        <v>3.2000000000000002E-3</v>
      </c>
      <c r="G15" s="1">
        <v>3.5999999999999999E-3</v>
      </c>
      <c r="H15" s="1">
        <v>3.8999999999999998E-3</v>
      </c>
      <c r="I15" s="1">
        <v>4.4000000000000003E-3</v>
      </c>
      <c r="J15" s="1">
        <v>4.8999999999999998E-3</v>
      </c>
      <c r="K15" s="1">
        <v>5.4999999999999997E-3</v>
      </c>
      <c r="L15" s="1">
        <v>6.1999999999999998E-3</v>
      </c>
      <c r="M15" s="1">
        <v>6.6E-3</v>
      </c>
      <c r="N15" s="1">
        <v>7.4000000000000003E-3</v>
      </c>
      <c r="O15" s="1">
        <v>8.3000000000000001E-3</v>
      </c>
      <c r="P15" s="1">
        <v>9.4000000000000004E-3</v>
      </c>
      <c r="Q15" s="1">
        <v>1.0699999999999999E-2</v>
      </c>
      <c r="R15" s="1">
        <v>1.23E-2</v>
      </c>
      <c r="S15" s="1">
        <v>1.4200000000000001E-2</v>
      </c>
      <c r="T15" s="1">
        <v>1.6500000000000001E-2</v>
      </c>
      <c r="U15" s="1">
        <v>1.9300000000000001E-2</v>
      </c>
      <c r="V15" s="1">
        <v>2.2700000000000001E-2</v>
      </c>
    </row>
    <row r="16" spans="2:22" x14ac:dyDescent="0.35">
      <c r="B16">
        <v>1965</v>
      </c>
      <c r="C16" s="1">
        <v>2.5000000000000001E-3</v>
      </c>
      <c r="D16" s="1">
        <v>2.7000000000000001E-3</v>
      </c>
      <c r="E16" s="1">
        <v>2.8999999999999998E-3</v>
      </c>
      <c r="F16" s="1">
        <v>3.2000000000000002E-3</v>
      </c>
      <c r="G16" s="1">
        <v>3.5999999999999999E-3</v>
      </c>
      <c r="H16" s="1">
        <v>3.8999999999999998E-3</v>
      </c>
      <c r="I16" s="1">
        <v>4.4000000000000003E-3</v>
      </c>
      <c r="J16" s="1">
        <v>4.8999999999999998E-3</v>
      </c>
      <c r="K16" s="1">
        <v>5.4000000000000003E-3</v>
      </c>
      <c r="L16" s="1">
        <v>6.1000000000000004E-3</v>
      </c>
      <c r="M16" s="1">
        <v>6.6E-3</v>
      </c>
      <c r="N16" s="1">
        <v>7.4000000000000003E-3</v>
      </c>
      <c r="O16" s="1">
        <v>8.3000000000000001E-3</v>
      </c>
      <c r="P16" s="1">
        <v>9.4000000000000004E-3</v>
      </c>
      <c r="Q16" s="1">
        <v>1.0699999999999999E-2</v>
      </c>
      <c r="R16" s="1">
        <v>1.2200000000000001E-2</v>
      </c>
      <c r="S16" s="1">
        <v>1.41E-2</v>
      </c>
      <c r="T16" s="1">
        <v>1.6400000000000001E-2</v>
      </c>
      <c r="U16" s="1">
        <v>1.9199999999999998E-2</v>
      </c>
      <c r="V16" s="1">
        <v>2.2599999999999999E-2</v>
      </c>
    </row>
    <row r="17" spans="2:22" x14ac:dyDescent="0.35">
      <c r="B17">
        <v>1966</v>
      </c>
      <c r="C17" s="1">
        <v>2.5000000000000001E-3</v>
      </c>
      <c r="D17" s="1">
        <v>2.7000000000000001E-3</v>
      </c>
      <c r="E17" s="1">
        <v>2.8999999999999998E-3</v>
      </c>
      <c r="F17" s="1">
        <v>3.2000000000000002E-3</v>
      </c>
      <c r="G17" s="1">
        <v>3.5000000000000001E-3</v>
      </c>
      <c r="H17" s="1">
        <v>3.8999999999999998E-3</v>
      </c>
      <c r="I17" s="1">
        <v>4.3E-3</v>
      </c>
      <c r="J17" s="1">
        <v>4.7999999999999996E-3</v>
      </c>
      <c r="K17" s="1">
        <v>5.4000000000000003E-3</v>
      </c>
      <c r="L17" s="1">
        <v>6.1000000000000004E-3</v>
      </c>
      <c r="M17" s="1">
        <v>6.6E-3</v>
      </c>
      <c r="N17" s="1">
        <v>7.4000000000000003E-3</v>
      </c>
      <c r="O17" s="1">
        <v>8.3000000000000001E-3</v>
      </c>
      <c r="P17" s="1">
        <v>9.4000000000000004E-3</v>
      </c>
      <c r="Q17" s="1">
        <v>1.0699999999999999E-2</v>
      </c>
      <c r="R17" s="1">
        <v>1.2200000000000001E-2</v>
      </c>
      <c r="S17" s="1">
        <v>1.4E-2</v>
      </c>
      <c r="T17" s="1">
        <v>1.6299999999999999E-2</v>
      </c>
      <c r="U17" s="1">
        <v>1.9099999999999999E-2</v>
      </c>
      <c r="V17" s="1">
        <v>2.2499999999999999E-2</v>
      </c>
    </row>
    <row r="18" spans="2:22" x14ac:dyDescent="0.35">
      <c r="B18">
        <v>1967</v>
      </c>
      <c r="C18" s="1">
        <v>2.5000000000000001E-3</v>
      </c>
      <c r="D18" s="1">
        <v>2.7000000000000001E-3</v>
      </c>
      <c r="E18" s="1">
        <v>2.8999999999999998E-3</v>
      </c>
      <c r="F18" s="1">
        <v>3.2000000000000002E-3</v>
      </c>
      <c r="G18" s="1">
        <v>3.5000000000000001E-3</v>
      </c>
      <c r="H18" s="1">
        <v>3.8999999999999998E-3</v>
      </c>
      <c r="I18" s="1">
        <v>4.3E-3</v>
      </c>
      <c r="J18" s="1">
        <v>4.7999999999999996E-3</v>
      </c>
      <c r="K18" s="1">
        <v>5.4000000000000003E-3</v>
      </c>
      <c r="L18" s="1">
        <v>6.1000000000000004E-3</v>
      </c>
      <c r="M18" s="1">
        <v>6.6E-3</v>
      </c>
      <c r="N18" s="1">
        <v>7.3000000000000001E-3</v>
      </c>
      <c r="O18" s="1">
        <v>8.3000000000000001E-3</v>
      </c>
      <c r="P18" s="1">
        <v>9.2999999999999992E-3</v>
      </c>
      <c r="Q18" s="1">
        <v>1.06E-2</v>
      </c>
      <c r="R18" s="1">
        <v>1.21E-2</v>
      </c>
      <c r="S18" s="1">
        <v>1.4E-2</v>
      </c>
      <c r="T18" s="1">
        <v>1.6199999999999999E-2</v>
      </c>
      <c r="U18" s="1">
        <v>1.9E-2</v>
      </c>
      <c r="V18" s="1">
        <v>2.24E-2</v>
      </c>
    </row>
    <row r="19" spans="2:22" x14ac:dyDescent="0.35">
      <c r="B19">
        <v>1968</v>
      </c>
      <c r="C19" s="1">
        <v>2.5000000000000001E-3</v>
      </c>
      <c r="D19" s="1">
        <v>2.7000000000000001E-3</v>
      </c>
      <c r="E19" s="1">
        <v>2.8999999999999998E-3</v>
      </c>
      <c r="F19" s="1">
        <v>3.2000000000000002E-3</v>
      </c>
      <c r="G19" s="1">
        <v>3.5000000000000001E-3</v>
      </c>
      <c r="H19" s="1">
        <v>3.8999999999999998E-3</v>
      </c>
      <c r="I19" s="1">
        <v>4.3E-3</v>
      </c>
      <c r="J19" s="1">
        <v>4.7999999999999996E-3</v>
      </c>
      <c r="K19" s="1">
        <v>5.4000000000000003E-3</v>
      </c>
      <c r="L19" s="1">
        <v>6.1000000000000004E-3</v>
      </c>
      <c r="M19" s="1">
        <v>6.4999999999999997E-3</v>
      </c>
      <c r="N19" s="1">
        <v>7.3000000000000001E-3</v>
      </c>
      <c r="O19" s="1">
        <v>8.2000000000000007E-3</v>
      </c>
      <c r="P19" s="1">
        <v>9.2999999999999992E-3</v>
      </c>
      <c r="Q19" s="1">
        <v>1.06E-2</v>
      </c>
      <c r="R19" s="1">
        <v>1.21E-2</v>
      </c>
      <c r="S19" s="1">
        <v>1.3899999999999999E-2</v>
      </c>
      <c r="T19" s="1">
        <v>1.6199999999999999E-2</v>
      </c>
      <c r="U19" s="1">
        <v>1.89E-2</v>
      </c>
      <c r="V19" s="1">
        <v>2.23E-2</v>
      </c>
    </row>
    <row r="20" spans="2:22" x14ac:dyDescent="0.35">
      <c r="B20">
        <v>1969</v>
      </c>
      <c r="C20" s="1">
        <v>2.5000000000000001E-3</v>
      </c>
      <c r="D20" s="1">
        <v>2.7000000000000001E-3</v>
      </c>
      <c r="E20" s="1">
        <v>2.8999999999999998E-3</v>
      </c>
      <c r="F20" s="1">
        <v>3.2000000000000002E-3</v>
      </c>
      <c r="G20" s="1">
        <v>3.5000000000000001E-3</v>
      </c>
      <c r="H20" s="1">
        <v>3.8999999999999998E-3</v>
      </c>
      <c r="I20" s="1">
        <v>4.3E-3</v>
      </c>
      <c r="J20" s="1">
        <v>4.7999999999999996E-3</v>
      </c>
      <c r="K20" s="1">
        <v>5.4000000000000003E-3</v>
      </c>
      <c r="L20" s="1">
        <v>6.1000000000000004E-3</v>
      </c>
      <c r="M20" s="1">
        <v>6.4999999999999997E-3</v>
      </c>
      <c r="N20" s="1">
        <v>7.3000000000000001E-3</v>
      </c>
      <c r="O20" s="1">
        <v>8.2000000000000007E-3</v>
      </c>
      <c r="P20" s="1">
        <v>9.2999999999999992E-3</v>
      </c>
      <c r="Q20" s="1">
        <v>1.0500000000000001E-2</v>
      </c>
      <c r="R20" s="1">
        <v>1.21E-2</v>
      </c>
      <c r="S20" s="1">
        <v>1.3899999999999999E-2</v>
      </c>
      <c r="T20" s="1">
        <v>1.61E-2</v>
      </c>
      <c r="U20" s="1">
        <v>1.8800000000000001E-2</v>
      </c>
      <c r="V20" s="1">
        <v>2.2100000000000002E-2</v>
      </c>
    </row>
    <row r="21" spans="2:22" x14ac:dyDescent="0.35">
      <c r="B21">
        <v>1970</v>
      </c>
      <c r="C21" s="1">
        <v>2.5000000000000001E-3</v>
      </c>
      <c r="D21" s="1">
        <v>2.7000000000000001E-3</v>
      </c>
      <c r="E21" s="1">
        <v>2.8999999999999998E-3</v>
      </c>
      <c r="F21" s="1">
        <v>3.2000000000000002E-3</v>
      </c>
      <c r="G21" s="1">
        <v>3.5000000000000001E-3</v>
      </c>
      <c r="H21" s="1">
        <v>3.8999999999999998E-3</v>
      </c>
      <c r="I21" s="1">
        <v>4.3E-3</v>
      </c>
      <c r="J21" s="1">
        <v>4.7999999999999996E-3</v>
      </c>
      <c r="K21" s="1">
        <v>5.4000000000000003E-3</v>
      </c>
      <c r="L21" s="1">
        <v>6.1000000000000004E-3</v>
      </c>
      <c r="M21" s="1">
        <v>6.4999999999999997E-3</v>
      </c>
      <c r="N21" s="1">
        <v>7.3000000000000001E-3</v>
      </c>
      <c r="O21" s="1">
        <v>8.2000000000000007E-3</v>
      </c>
      <c r="P21" s="1">
        <v>9.1999999999999998E-3</v>
      </c>
      <c r="Q21" s="1">
        <v>1.0500000000000001E-2</v>
      </c>
      <c r="R21" s="1">
        <v>1.2E-2</v>
      </c>
      <c r="S21" s="1">
        <v>1.38E-2</v>
      </c>
      <c r="T21" s="1">
        <v>1.6E-2</v>
      </c>
      <c r="U21" s="1">
        <v>1.8700000000000001E-2</v>
      </c>
      <c r="V21" s="1">
        <v>2.1999999999999999E-2</v>
      </c>
    </row>
    <row r="22" spans="2:22" x14ac:dyDescent="0.35">
      <c r="B22">
        <v>1971</v>
      </c>
      <c r="C22" s="1">
        <v>2.5000000000000001E-3</v>
      </c>
      <c r="D22" s="1">
        <v>2.7000000000000001E-3</v>
      </c>
      <c r="E22" s="1">
        <v>2.8999999999999998E-3</v>
      </c>
      <c r="F22" s="1">
        <v>3.2000000000000002E-3</v>
      </c>
      <c r="G22" s="1">
        <v>3.5000000000000001E-3</v>
      </c>
      <c r="H22" s="1">
        <v>3.8999999999999998E-3</v>
      </c>
      <c r="I22" s="1">
        <v>4.3E-3</v>
      </c>
      <c r="J22" s="1">
        <v>4.7999999999999996E-3</v>
      </c>
      <c r="K22" s="1">
        <v>5.4000000000000003E-3</v>
      </c>
      <c r="L22" s="1">
        <v>6.0000000000000001E-3</v>
      </c>
      <c r="M22" s="1">
        <v>6.4999999999999997E-3</v>
      </c>
      <c r="N22" s="1">
        <v>7.3000000000000001E-3</v>
      </c>
      <c r="O22" s="1">
        <v>8.2000000000000007E-3</v>
      </c>
      <c r="P22" s="1">
        <v>9.1999999999999998E-3</v>
      </c>
      <c r="Q22" s="1">
        <v>1.0500000000000001E-2</v>
      </c>
      <c r="R22" s="1">
        <v>1.2E-2</v>
      </c>
      <c r="S22" s="1">
        <v>1.38E-2</v>
      </c>
      <c r="T22" s="1">
        <v>1.5900000000000001E-2</v>
      </c>
      <c r="U22" s="1">
        <v>1.8599999999999998E-2</v>
      </c>
      <c r="V22" s="1">
        <v>2.1899999999999999E-2</v>
      </c>
    </row>
    <row r="23" spans="2:22" x14ac:dyDescent="0.35">
      <c r="B23">
        <v>1972</v>
      </c>
      <c r="C23" s="1">
        <v>2.5000000000000001E-3</v>
      </c>
      <c r="D23" s="1">
        <v>2.7000000000000001E-3</v>
      </c>
      <c r="E23" s="1">
        <v>2.8999999999999998E-3</v>
      </c>
      <c r="F23" s="1">
        <v>3.2000000000000002E-3</v>
      </c>
      <c r="G23" s="1">
        <v>3.5000000000000001E-3</v>
      </c>
      <c r="H23" s="1">
        <v>3.8999999999999998E-3</v>
      </c>
      <c r="I23" s="1">
        <v>4.3E-3</v>
      </c>
      <c r="J23" s="1">
        <v>4.7999999999999996E-3</v>
      </c>
      <c r="K23" s="1">
        <v>5.4000000000000003E-3</v>
      </c>
      <c r="L23" s="1">
        <v>6.0000000000000001E-3</v>
      </c>
      <c r="M23" s="1">
        <v>6.4999999999999997E-3</v>
      </c>
      <c r="N23" s="1">
        <v>7.1999999999999998E-3</v>
      </c>
      <c r="O23" s="1">
        <v>8.0999999999999996E-3</v>
      </c>
      <c r="P23" s="1">
        <v>9.1999999999999998E-3</v>
      </c>
      <c r="Q23" s="1">
        <v>1.04E-2</v>
      </c>
      <c r="R23" s="1">
        <v>1.1900000000000001E-2</v>
      </c>
      <c r="S23" s="1">
        <v>1.37E-2</v>
      </c>
      <c r="T23" s="1">
        <v>1.5900000000000001E-2</v>
      </c>
      <c r="U23" s="1">
        <v>1.8499999999999999E-2</v>
      </c>
      <c r="V23" s="1">
        <v>2.18E-2</v>
      </c>
    </row>
    <row r="24" spans="2:22" x14ac:dyDescent="0.35">
      <c r="B24">
        <v>1973</v>
      </c>
      <c r="C24" s="1">
        <v>2.5000000000000001E-3</v>
      </c>
      <c r="D24" s="1">
        <v>2.7000000000000001E-3</v>
      </c>
      <c r="E24" s="1">
        <v>2.8999999999999998E-3</v>
      </c>
      <c r="F24" s="1">
        <v>3.2000000000000002E-3</v>
      </c>
      <c r="G24" s="1">
        <v>3.5000000000000001E-3</v>
      </c>
      <c r="H24" s="1">
        <v>3.8999999999999998E-3</v>
      </c>
      <c r="I24" s="1">
        <v>4.3E-3</v>
      </c>
      <c r="J24" s="1">
        <v>4.7999999999999996E-3</v>
      </c>
      <c r="K24" s="1">
        <v>5.3E-3</v>
      </c>
      <c r="L24" s="1">
        <v>6.0000000000000001E-3</v>
      </c>
      <c r="M24" s="1">
        <v>6.4999999999999997E-3</v>
      </c>
      <c r="N24" s="1">
        <v>7.1999999999999998E-3</v>
      </c>
      <c r="O24" s="1">
        <v>8.0999999999999996E-3</v>
      </c>
      <c r="P24" s="1">
        <v>9.1999999999999998E-3</v>
      </c>
      <c r="Q24" s="1">
        <v>1.04E-2</v>
      </c>
      <c r="R24" s="1">
        <v>1.1900000000000001E-2</v>
      </c>
      <c r="S24" s="1">
        <v>1.37E-2</v>
      </c>
      <c r="T24" s="1">
        <v>1.5800000000000002E-2</v>
      </c>
      <c r="U24" s="1">
        <v>1.8499999999999999E-2</v>
      </c>
      <c r="V24" s="1">
        <v>2.1700000000000001E-2</v>
      </c>
    </row>
    <row r="25" spans="2:22" x14ac:dyDescent="0.35">
      <c r="B25">
        <v>1974</v>
      </c>
      <c r="C25" s="1">
        <v>2.5000000000000001E-3</v>
      </c>
      <c r="D25" s="1">
        <v>2.7000000000000001E-3</v>
      </c>
      <c r="E25" s="1">
        <v>2.8999999999999998E-3</v>
      </c>
      <c r="F25" s="1">
        <v>3.2000000000000002E-3</v>
      </c>
      <c r="G25" s="1">
        <v>3.5000000000000001E-3</v>
      </c>
      <c r="H25" s="1">
        <v>3.8999999999999998E-3</v>
      </c>
      <c r="I25" s="1">
        <v>4.3E-3</v>
      </c>
      <c r="J25" s="1">
        <v>4.7999999999999996E-3</v>
      </c>
      <c r="K25" s="1">
        <v>5.3E-3</v>
      </c>
      <c r="L25" s="1">
        <v>6.0000000000000001E-3</v>
      </c>
      <c r="M25" s="1">
        <v>6.4000000000000003E-3</v>
      </c>
      <c r="N25" s="1">
        <v>7.1999999999999998E-3</v>
      </c>
      <c r="O25" s="1">
        <v>8.0999999999999996E-3</v>
      </c>
      <c r="P25" s="1">
        <v>9.1000000000000004E-3</v>
      </c>
      <c r="Q25" s="1">
        <v>1.04E-2</v>
      </c>
      <c r="R25" s="1">
        <v>1.18E-2</v>
      </c>
      <c r="S25" s="1">
        <v>1.3599999999999999E-2</v>
      </c>
      <c r="T25" s="1">
        <v>1.5699999999999999E-2</v>
      </c>
      <c r="U25" s="1">
        <v>1.84E-2</v>
      </c>
      <c r="V25" s="1">
        <v>2.1600000000000001E-2</v>
      </c>
    </row>
    <row r="26" spans="2:22" x14ac:dyDescent="0.35">
      <c r="B26">
        <v>1975</v>
      </c>
      <c r="C26" s="1">
        <v>2.5000000000000001E-3</v>
      </c>
      <c r="D26" s="1">
        <v>2.7000000000000001E-3</v>
      </c>
      <c r="E26" s="1">
        <v>2.8999999999999998E-3</v>
      </c>
      <c r="F26" s="1">
        <v>3.2000000000000002E-3</v>
      </c>
      <c r="G26" s="1">
        <v>3.5000000000000001E-3</v>
      </c>
      <c r="H26" s="1">
        <v>3.8999999999999998E-3</v>
      </c>
      <c r="I26" s="1">
        <v>4.3E-3</v>
      </c>
      <c r="J26" s="1">
        <v>4.7999999999999996E-3</v>
      </c>
      <c r="K26" s="1">
        <v>5.3E-3</v>
      </c>
      <c r="L26" s="1">
        <v>6.0000000000000001E-3</v>
      </c>
      <c r="M26" s="1">
        <v>6.4000000000000003E-3</v>
      </c>
      <c r="N26" s="1">
        <v>7.1999999999999998E-3</v>
      </c>
      <c r="O26" s="1">
        <v>8.0999999999999996E-3</v>
      </c>
      <c r="P26" s="1">
        <v>9.1000000000000004E-3</v>
      </c>
      <c r="Q26" s="1">
        <v>1.03E-2</v>
      </c>
      <c r="R26" s="1">
        <v>1.18E-2</v>
      </c>
      <c r="S26" s="1">
        <v>1.3599999999999999E-2</v>
      </c>
      <c r="T26" s="1">
        <v>1.5699999999999999E-2</v>
      </c>
      <c r="U26" s="1">
        <v>1.83E-2</v>
      </c>
      <c r="V26" s="1">
        <v>2.1499999999999998E-2</v>
      </c>
    </row>
    <row r="27" spans="2:22" x14ac:dyDescent="0.35">
      <c r="B27">
        <v>1976</v>
      </c>
      <c r="C27" s="1">
        <v>2.5000000000000001E-3</v>
      </c>
      <c r="D27" s="1">
        <v>2.7000000000000001E-3</v>
      </c>
      <c r="E27" s="1">
        <v>2.8999999999999998E-3</v>
      </c>
      <c r="F27" s="1">
        <v>3.2000000000000002E-3</v>
      </c>
      <c r="G27" s="1">
        <v>3.5000000000000001E-3</v>
      </c>
      <c r="H27" s="1">
        <v>3.8999999999999998E-3</v>
      </c>
      <c r="I27" s="1">
        <v>4.3E-3</v>
      </c>
      <c r="J27" s="1">
        <v>4.7000000000000002E-3</v>
      </c>
      <c r="K27" s="1">
        <v>5.3E-3</v>
      </c>
      <c r="L27" s="1">
        <v>6.0000000000000001E-3</v>
      </c>
      <c r="M27" s="1">
        <v>6.4000000000000003E-3</v>
      </c>
      <c r="N27" s="1">
        <v>7.1999999999999998E-3</v>
      </c>
      <c r="O27" s="1">
        <v>8.0000000000000002E-3</v>
      </c>
      <c r="P27" s="1">
        <v>9.1000000000000004E-3</v>
      </c>
      <c r="Q27" s="1">
        <v>1.03E-2</v>
      </c>
      <c r="R27" s="1">
        <v>1.18E-2</v>
      </c>
      <c r="S27" s="1">
        <v>1.35E-2</v>
      </c>
      <c r="T27" s="1">
        <v>1.5599999999999999E-2</v>
      </c>
      <c r="U27" s="1">
        <v>1.8200000000000001E-2</v>
      </c>
      <c r="V27" s="1">
        <v>2.1399999999999999E-2</v>
      </c>
    </row>
    <row r="28" spans="2:22" x14ac:dyDescent="0.35">
      <c r="B28">
        <v>1977</v>
      </c>
      <c r="C28" s="1">
        <v>2.5000000000000001E-3</v>
      </c>
      <c r="D28" s="1">
        <v>2.7000000000000001E-3</v>
      </c>
      <c r="E28" s="1">
        <v>2.8999999999999998E-3</v>
      </c>
      <c r="F28" s="1">
        <v>3.2000000000000002E-3</v>
      </c>
      <c r="G28" s="1">
        <v>3.5000000000000001E-3</v>
      </c>
      <c r="H28" s="1">
        <v>3.8999999999999998E-3</v>
      </c>
      <c r="I28" s="1">
        <v>4.3E-3</v>
      </c>
      <c r="J28" s="1">
        <v>4.7000000000000002E-3</v>
      </c>
      <c r="K28" s="1">
        <v>5.3E-3</v>
      </c>
      <c r="L28" s="1">
        <v>6.0000000000000001E-3</v>
      </c>
      <c r="M28" s="1">
        <v>6.4000000000000003E-3</v>
      </c>
      <c r="N28" s="1">
        <v>7.1999999999999998E-3</v>
      </c>
      <c r="O28" s="1">
        <v>8.0000000000000002E-3</v>
      </c>
      <c r="P28" s="1">
        <v>9.1000000000000004E-3</v>
      </c>
      <c r="Q28" s="1">
        <v>1.03E-2</v>
      </c>
      <c r="R28" s="1">
        <v>1.17E-2</v>
      </c>
      <c r="S28" s="1">
        <v>1.35E-2</v>
      </c>
      <c r="T28" s="1">
        <v>1.5599999999999999E-2</v>
      </c>
      <c r="U28" s="1">
        <v>1.8100000000000002E-2</v>
      </c>
      <c r="V28" s="1">
        <v>2.1299999999999999E-2</v>
      </c>
    </row>
    <row r="29" spans="2:22" x14ac:dyDescent="0.35">
      <c r="B29">
        <v>1978</v>
      </c>
      <c r="C29" s="1">
        <v>2.5000000000000001E-3</v>
      </c>
      <c r="D29" s="1">
        <v>2.7000000000000001E-3</v>
      </c>
      <c r="E29" s="1">
        <v>2.8999999999999998E-3</v>
      </c>
      <c r="F29" s="1">
        <v>3.2000000000000002E-3</v>
      </c>
      <c r="G29" s="1">
        <v>3.5000000000000001E-3</v>
      </c>
      <c r="H29" s="1">
        <v>3.8E-3</v>
      </c>
      <c r="I29" s="1">
        <v>4.3E-3</v>
      </c>
      <c r="J29" s="1">
        <v>4.7000000000000002E-3</v>
      </c>
      <c r="K29" s="1">
        <v>5.3E-3</v>
      </c>
      <c r="L29" s="1">
        <v>5.8999999999999999E-3</v>
      </c>
      <c r="M29" s="1">
        <v>6.4000000000000003E-3</v>
      </c>
      <c r="N29" s="1">
        <v>7.1000000000000004E-3</v>
      </c>
      <c r="O29" s="1">
        <v>8.0000000000000002E-3</v>
      </c>
      <c r="P29" s="1">
        <v>8.9999999999999993E-3</v>
      </c>
      <c r="Q29" s="1">
        <v>1.0200000000000001E-2</v>
      </c>
      <c r="R29" s="1">
        <v>1.17E-2</v>
      </c>
      <c r="S29" s="1">
        <v>1.34E-2</v>
      </c>
      <c r="T29" s="1">
        <v>1.55E-2</v>
      </c>
      <c r="U29" s="1">
        <v>1.8100000000000002E-2</v>
      </c>
      <c r="V29" s="1">
        <v>2.12E-2</v>
      </c>
    </row>
    <row r="30" spans="2:22" x14ac:dyDescent="0.35">
      <c r="B30">
        <v>1979</v>
      </c>
      <c r="C30" s="1">
        <v>2.5000000000000001E-3</v>
      </c>
      <c r="D30" s="1">
        <v>2.7000000000000001E-3</v>
      </c>
      <c r="E30" s="1">
        <v>2.8999999999999998E-3</v>
      </c>
      <c r="F30" s="1">
        <v>3.2000000000000002E-3</v>
      </c>
      <c r="G30" s="1">
        <v>3.5000000000000001E-3</v>
      </c>
      <c r="H30" s="1">
        <v>3.8E-3</v>
      </c>
      <c r="I30" s="1">
        <v>4.1999999999999997E-3</v>
      </c>
      <c r="J30" s="1">
        <v>4.7000000000000002E-3</v>
      </c>
      <c r="K30" s="1">
        <v>5.3E-3</v>
      </c>
      <c r="L30" s="1">
        <v>5.8999999999999999E-3</v>
      </c>
      <c r="M30" s="1">
        <v>6.4000000000000003E-3</v>
      </c>
      <c r="N30" s="1">
        <v>7.1000000000000004E-3</v>
      </c>
      <c r="O30" s="1">
        <v>8.0000000000000002E-3</v>
      </c>
      <c r="P30" s="1">
        <v>8.9999999999999993E-3</v>
      </c>
      <c r="Q30" s="1">
        <v>1.0200000000000001E-2</v>
      </c>
      <c r="R30" s="1">
        <v>1.1599999999999999E-2</v>
      </c>
      <c r="S30" s="1">
        <v>1.34E-2</v>
      </c>
      <c r="T30" s="1">
        <v>1.54E-2</v>
      </c>
      <c r="U30" s="1">
        <v>1.7999999999999999E-2</v>
      </c>
      <c r="V30" s="1">
        <v>2.1100000000000001E-2</v>
      </c>
    </row>
    <row r="31" spans="2:22" x14ac:dyDescent="0.35">
      <c r="B31">
        <v>1980</v>
      </c>
      <c r="C31" s="1">
        <v>2.5000000000000001E-3</v>
      </c>
      <c r="D31" s="1">
        <v>2.7000000000000001E-3</v>
      </c>
      <c r="E31" s="1">
        <v>2.8999999999999998E-3</v>
      </c>
      <c r="F31" s="1">
        <v>3.2000000000000002E-3</v>
      </c>
      <c r="G31" s="1">
        <v>3.5000000000000001E-3</v>
      </c>
      <c r="H31" s="1">
        <v>3.8E-3</v>
      </c>
      <c r="I31" s="1">
        <v>4.1999999999999997E-3</v>
      </c>
      <c r="J31" s="1">
        <v>4.7000000000000002E-3</v>
      </c>
      <c r="K31" s="1">
        <v>5.3E-3</v>
      </c>
      <c r="L31" s="1">
        <v>5.8999999999999999E-3</v>
      </c>
      <c r="M31" s="1">
        <v>6.4000000000000003E-3</v>
      </c>
      <c r="N31" s="1">
        <v>7.1000000000000004E-3</v>
      </c>
      <c r="O31" s="1">
        <v>8.0000000000000002E-3</v>
      </c>
      <c r="P31" s="1">
        <v>8.9999999999999993E-3</v>
      </c>
      <c r="Q31" s="1">
        <v>1.0200000000000001E-2</v>
      </c>
      <c r="R31" s="1">
        <v>1.1599999999999999E-2</v>
      </c>
      <c r="S31" s="1">
        <v>1.3299999999999999E-2</v>
      </c>
      <c r="T31" s="1">
        <v>1.54E-2</v>
      </c>
      <c r="U31" s="1">
        <v>1.7899999999999999E-2</v>
      </c>
      <c r="V31" s="1">
        <v>2.1000000000000001E-2</v>
      </c>
    </row>
    <row r="32" spans="2:22" x14ac:dyDescent="0.35">
      <c r="B32">
        <v>1981</v>
      </c>
      <c r="C32" s="1">
        <v>2.5000000000000001E-3</v>
      </c>
      <c r="D32" s="1">
        <v>2.7000000000000001E-3</v>
      </c>
      <c r="E32" s="1">
        <v>2.8999999999999998E-3</v>
      </c>
      <c r="F32" s="1">
        <v>3.2000000000000002E-3</v>
      </c>
      <c r="G32" s="1">
        <v>3.5000000000000001E-3</v>
      </c>
      <c r="H32" s="1">
        <v>3.8E-3</v>
      </c>
      <c r="I32" s="1">
        <v>4.1999999999999997E-3</v>
      </c>
      <c r="J32" s="1">
        <v>4.7000000000000002E-3</v>
      </c>
      <c r="K32" s="1">
        <v>5.3E-3</v>
      </c>
      <c r="L32" s="1">
        <v>5.8999999999999999E-3</v>
      </c>
      <c r="M32" s="1">
        <v>6.4000000000000003E-3</v>
      </c>
      <c r="N32" s="1">
        <v>7.1000000000000004E-3</v>
      </c>
      <c r="O32" s="1">
        <v>7.9000000000000008E-3</v>
      </c>
      <c r="P32" s="1">
        <v>8.9999999999999993E-3</v>
      </c>
      <c r="Q32" s="1">
        <v>1.0200000000000001E-2</v>
      </c>
      <c r="R32" s="1">
        <v>1.1599999999999999E-2</v>
      </c>
      <c r="S32" s="1">
        <v>1.3299999999999999E-2</v>
      </c>
      <c r="T32" s="1">
        <v>1.5299999999999999E-2</v>
      </c>
      <c r="U32" s="1">
        <v>1.78E-2</v>
      </c>
      <c r="V32" s="1">
        <v>2.0899999999999998E-2</v>
      </c>
    </row>
    <row r="33" spans="2:22" x14ac:dyDescent="0.35">
      <c r="B33">
        <v>1982</v>
      </c>
      <c r="C33" s="1">
        <v>2.5000000000000001E-3</v>
      </c>
      <c r="D33" s="1">
        <v>2.7000000000000001E-3</v>
      </c>
      <c r="E33" s="1">
        <v>2.8999999999999998E-3</v>
      </c>
      <c r="F33" s="1">
        <v>3.2000000000000002E-3</v>
      </c>
      <c r="G33" s="1">
        <v>3.5000000000000001E-3</v>
      </c>
      <c r="H33" s="1">
        <v>3.8E-3</v>
      </c>
      <c r="I33" s="1">
        <v>4.1999999999999997E-3</v>
      </c>
      <c r="J33" s="1">
        <v>4.7000000000000002E-3</v>
      </c>
      <c r="K33" s="1">
        <v>5.3E-3</v>
      </c>
      <c r="L33" s="1">
        <v>5.8999999999999999E-3</v>
      </c>
      <c r="M33" s="1">
        <v>6.3E-3</v>
      </c>
      <c r="N33" s="1">
        <v>7.1000000000000004E-3</v>
      </c>
      <c r="O33" s="1">
        <v>7.9000000000000008E-3</v>
      </c>
      <c r="P33" s="1">
        <v>8.8999999999999999E-3</v>
      </c>
      <c r="Q33" s="1">
        <v>1.01E-2</v>
      </c>
      <c r="R33" s="1">
        <v>1.15E-2</v>
      </c>
      <c r="S33" s="1">
        <v>1.32E-2</v>
      </c>
      <c r="T33" s="1">
        <v>1.5299999999999999E-2</v>
      </c>
      <c r="U33" s="1">
        <v>1.78E-2</v>
      </c>
      <c r="V33" s="1">
        <v>2.0899999999999998E-2</v>
      </c>
    </row>
    <row r="34" spans="2:22" x14ac:dyDescent="0.35">
      <c r="B34">
        <v>1983</v>
      </c>
      <c r="C34" s="1">
        <v>2.5000000000000001E-3</v>
      </c>
      <c r="D34" s="1">
        <v>2.7000000000000001E-3</v>
      </c>
      <c r="E34" s="1">
        <v>2.8999999999999998E-3</v>
      </c>
      <c r="F34" s="1">
        <v>3.2000000000000002E-3</v>
      </c>
      <c r="G34" s="1">
        <v>3.5000000000000001E-3</v>
      </c>
      <c r="H34" s="1">
        <v>3.8E-3</v>
      </c>
      <c r="I34" s="1">
        <v>4.1999999999999997E-3</v>
      </c>
      <c r="J34" s="1">
        <v>4.7000000000000002E-3</v>
      </c>
      <c r="K34" s="1">
        <v>5.1999999999999998E-3</v>
      </c>
      <c r="L34" s="1">
        <v>5.8999999999999999E-3</v>
      </c>
      <c r="M34" s="1">
        <v>6.3E-3</v>
      </c>
      <c r="N34" s="1">
        <v>7.1000000000000004E-3</v>
      </c>
      <c r="O34" s="1">
        <v>7.9000000000000008E-3</v>
      </c>
      <c r="P34" s="1">
        <v>8.8999999999999999E-3</v>
      </c>
      <c r="Q34" s="1">
        <v>1.01E-2</v>
      </c>
      <c r="R34" s="1">
        <v>1.15E-2</v>
      </c>
      <c r="S34" s="1">
        <v>1.32E-2</v>
      </c>
      <c r="T34" s="1">
        <v>1.52E-2</v>
      </c>
      <c r="U34" s="1">
        <v>1.77E-2</v>
      </c>
      <c r="V34" s="1">
        <v>2.0799999999999999E-2</v>
      </c>
    </row>
    <row r="35" spans="2:22" x14ac:dyDescent="0.35">
      <c r="B35">
        <v>1984</v>
      </c>
      <c r="C35" s="1">
        <v>2.5000000000000001E-3</v>
      </c>
      <c r="D35" s="1">
        <v>2.7000000000000001E-3</v>
      </c>
      <c r="E35" s="1">
        <v>2.8999999999999998E-3</v>
      </c>
      <c r="F35" s="1">
        <v>3.2000000000000002E-3</v>
      </c>
      <c r="G35" s="1">
        <v>3.5000000000000001E-3</v>
      </c>
      <c r="H35" s="1">
        <v>3.8E-3</v>
      </c>
      <c r="I35" s="1">
        <v>4.1999999999999997E-3</v>
      </c>
      <c r="J35" s="1">
        <v>4.7000000000000002E-3</v>
      </c>
      <c r="K35" s="1">
        <v>5.1999999999999998E-3</v>
      </c>
      <c r="L35" s="1">
        <v>5.8999999999999999E-3</v>
      </c>
      <c r="M35" s="1">
        <v>6.3E-3</v>
      </c>
      <c r="N35" s="1">
        <v>7.0000000000000001E-3</v>
      </c>
      <c r="O35" s="1">
        <v>7.9000000000000008E-3</v>
      </c>
      <c r="P35" s="1">
        <v>8.8999999999999999E-3</v>
      </c>
      <c r="Q35" s="1">
        <v>1.01E-2</v>
      </c>
      <c r="R35" s="1">
        <v>1.15E-2</v>
      </c>
      <c r="S35" s="1">
        <v>1.3100000000000001E-2</v>
      </c>
      <c r="T35" s="1">
        <v>1.52E-2</v>
      </c>
      <c r="U35" s="1">
        <v>1.7600000000000001E-2</v>
      </c>
      <c r="V35" s="1">
        <v>2.07E-2</v>
      </c>
    </row>
    <row r="36" spans="2:22" x14ac:dyDescent="0.35">
      <c r="B36">
        <v>1985</v>
      </c>
      <c r="C36" s="1">
        <v>2.5000000000000001E-3</v>
      </c>
      <c r="D36" s="1">
        <v>2.7000000000000001E-3</v>
      </c>
      <c r="E36" s="1">
        <v>2.8999999999999998E-3</v>
      </c>
      <c r="F36" s="1">
        <v>3.2000000000000002E-3</v>
      </c>
      <c r="G36" s="1">
        <v>3.5000000000000001E-3</v>
      </c>
      <c r="H36" s="1">
        <v>3.8E-3</v>
      </c>
      <c r="I36" s="1">
        <v>4.1999999999999997E-3</v>
      </c>
      <c r="J36" s="1">
        <v>4.7000000000000002E-3</v>
      </c>
      <c r="K36" s="1">
        <v>5.1999999999999998E-3</v>
      </c>
      <c r="L36" s="1">
        <v>5.8999999999999999E-3</v>
      </c>
      <c r="M36" s="1">
        <v>6.3E-3</v>
      </c>
      <c r="N36" s="1">
        <v>7.0000000000000001E-3</v>
      </c>
      <c r="O36" s="1">
        <v>7.9000000000000008E-3</v>
      </c>
      <c r="P36" s="1">
        <v>8.8999999999999999E-3</v>
      </c>
      <c r="Q36" s="1">
        <v>0.01</v>
      </c>
      <c r="R36" s="1">
        <v>1.14E-2</v>
      </c>
      <c r="S36" s="1">
        <v>1.3100000000000001E-2</v>
      </c>
      <c r="T36" s="1">
        <v>1.5100000000000001E-2</v>
      </c>
      <c r="U36" s="1">
        <v>1.7600000000000001E-2</v>
      </c>
      <c r="V36" s="1">
        <v>2.06E-2</v>
      </c>
    </row>
    <row r="37" spans="2:22" x14ac:dyDescent="0.35">
      <c r="B37">
        <v>1986</v>
      </c>
      <c r="C37" s="1">
        <v>2.5000000000000001E-3</v>
      </c>
      <c r="D37" s="1">
        <v>2.7000000000000001E-3</v>
      </c>
      <c r="E37" s="1">
        <v>2.8999999999999998E-3</v>
      </c>
      <c r="F37" s="1">
        <v>3.2000000000000002E-3</v>
      </c>
      <c r="G37" s="1">
        <v>3.5000000000000001E-3</v>
      </c>
      <c r="H37" s="1">
        <v>3.8E-3</v>
      </c>
      <c r="I37" s="1">
        <v>4.1999999999999997E-3</v>
      </c>
      <c r="J37" s="1">
        <v>4.7000000000000002E-3</v>
      </c>
      <c r="K37" s="1">
        <v>5.1999999999999998E-3</v>
      </c>
      <c r="L37" s="1">
        <v>5.8999999999999999E-3</v>
      </c>
      <c r="M37" s="1">
        <v>6.3E-3</v>
      </c>
      <c r="N37" s="1">
        <v>7.0000000000000001E-3</v>
      </c>
      <c r="O37" s="1">
        <v>7.9000000000000008E-3</v>
      </c>
      <c r="P37" s="1">
        <v>8.8000000000000005E-3</v>
      </c>
      <c r="Q37" s="1">
        <v>0.01</v>
      </c>
      <c r="R37" s="1">
        <v>1.14E-2</v>
      </c>
      <c r="S37" s="1">
        <v>1.3100000000000001E-2</v>
      </c>
      <c r="T37" s="1">
        <v>1.5100000000000001E-2</v>
      </c>
      <c r="U37" s="1">
        <v>1.7500000000000002E-2</v>
      </c>
      <c r="V37" s="1">
        <v>2.0500000000000001E-2</v>
      </c>
    </row>
    <row r="38" spans="2:22" x14ac:dyDescent="0.35">
      <c r="B38">
        <v>1987</v>
      </c>
      <c r="C38" s="1">
        <v>2.5000000000000001E-3</v>
      </c>
      <c r="D38" s="1">
        <v>2.7000000000000001E-3</v>
      </c>
      <c r="E38" s="1">
        <v>2.8999999999999998E-3</v>
      </c>
      <c r="F38" s="1">
        <v>3.2000000000000002E-3</v>
      </c>
      <c r="G38" s="1">
        <v>3.5000000000000001E-3</v>
      </c>
      <c r="H38" s="1">
        <v>3.8E-3</v>
      </c>
      <c r="I38" s="1">
        <v>4.1999999999999997E-3</v>
      </c>
      <c r="J38" s="1">
        <v>4.7000000000000002E-3</v>
      </c>
      <c r="K38" s="1">
        <v>5.1999999999999998E-3</v>
      </c>
      <c r="L38" s="1">
        <v>5.7999999999999996E-3</v>
      </c>
      <c r="M38" s="1">
        <v>6.3E-3</v>
      </c>
      <c r="N38" s="1">
        <v>7.0000000000000001E-3</v>
      </c>
      <c r="O38" s="1">
        <v>7.7999999999999996E-3</v>
      </c>
      <c r="P38" s="1">
        <v>8.8000000000000005E-3</v>
      </c>
      <c r="Q38" s="1">
        <v>0.01</v>
      </c>
      <c r="R38" s="1">
        <v>1.14E-2</v>
      </c>
      <c r="S38" s="1">
        <v>1.2999999999999999E-2</v>
      </c>
      <c r="T38" s="1">
        <v>1.4999999999999999E-2</v>
      </c>
      <c r="U38" s="1">
        <v>1.7399999999999999E-2</v>
      </c>
      <c r="V38" s="1">
        <v>2.0400000000000001E-2</v>
      </c>
    </row>
    <row r="39" spans="2:22" x14ac:dyDescent="0.35">
      <c r="B39">
        <v>1988</v>
      </c>
      <c r="C39" s="1">
        <v>2.5000000000000001E-3</v>
      </c>
      <c r="D39" s="1">
        <v>2.7000000000000001E-3</v>
      </c>
      <c r="E39" s="1">
        <v>2.8999999999999998E-3</v>
      </c>
      <c r="F39" s="1">
        <v>3.2000000000000002E-3</v>
      </c>
      <c r="G39" s="1">
        <v>3.5000000000000001E-3</v>
      </c>
      <c r="H39" s="1">
        <v>3.8E-3</v>
      </c>
      <c r="I39" s="1">
        <v>4.1999999999999997E-3</v>
      </c>
      <c r="J39" s="1">
        <v>4.7000000000000002E-3</v>
      </c>
      <c r="K39" s="1">
        <v>5.1999999999999998E-3</v>
      </c>
      <c r="L39" s="1">
        <v>5.7999999999999996E-3</v>
      </c>
      <c r="M39" s="1">
        <v>6.3E-3</v>
      </c>
      <c r="N39" s="1">
        <v>7.0000000000000001E-3</v>
      </c>
      <c r="O39" s="1">
        <v>7.7999999999999996E-3</v>
      </c>
      <c r="P39" s="1">
        <v>8.8000000000000005E-3</v>
      </c>
      <c r="Q39" s="1">
        <v>0.01</v>
      </c>
      <c r="R39" s="1">
        <v>1.1299999999999999E-2</v>
      </c>
      <c r="S39" s="1">
        <v>1.2999999999999999E-2</v>
      </c>
      <c r="T39" s="1">
        <v>1.4999999999999999E-2</v>
      </c>
      <c r="U39" s="1">
        <v>1.7399999999999999E-2</v>
      </c>
      <c r="V39" s="1">
        <v>2.0299999999999999E-2</v>
      </c>
    </row>
    <row r="40" spans="2:22" x14ac:dyDescent="0.35">
      <c r="B40">
        <v>1989</v>
      </c>
      <c r="C40" s="1">
        <v>2.5000000000000001E-3</v>
      </c>
      <c r="D40" s="1">
        <v>2.7000000000000001E-3</v>
      </c>
      <c r="E40" s="1">
        <v>2.8999999999999998E-3</v>
      </c>
      <c r="F40" s="1">
        <v>3.2000000000000002E-3</v>
      </c>
      <c r="G40" s="1">
        <v>3.5000000000000001E-3</v>
      </c>
      <c r="H40" s="1">
        <v>3.8E-3</v>
      </c>
      <c r="I40" s="1">
        <v>4.1999999999999997E-3</v>
      </c>
      <c r="J40" s="1">
        <v>4.7000000000000002E-3</v>
      </c>
      <c r="K40" s="1">
        <v>5.1999999999999998E-3</v>
      </c>
      <c r="L40" s="1">
        <v>5.7999999999999996E-3</v>
      </c>
      <c r="M40" s="1">
        <v>6.3E-3</v>
      </c>
      <c r="N40" s="1">
        <v>7.0000000000000001E-3</v>
      </c>
      <c r="O40" s="1">
        <v>7.7999999999999996E-3</v>
      </c>
      <c r="P40" s="1">
        <v>8.8000000000000005E-3</v>
      </c>
      <c r="Q40" s="1">
        <v>9.9000000000000008E-3</v>
      </c>
      <c r="R40" s="1">
        <v>1.1299999999999999E-2</v>
      </c>
      <c r="S40" s="1">
        <v>1.29E-2</v>
      </c>
      <c r="T40" s="1">
        <v>1.49E-2</v>
      </c>
      <c r="U40" s="1">
        <v>1.7299999999999999E-2</v>
      </c>
      <c r="V40" s="1">
        <v>2.0299999999999999E-2</v>
      </c>
    </row>
    <row r="41" spans="2:22" x14ac:dyDescent="0.35">
      <c r="B41">
        <v>1990</v>
      </c>
      <c r="C41" s="1">
        <v>2.3999999999999998E-3</v>
      </c>
      <c r="D41" s="1">
        <v>2.7000000000000001E-3</v>
      </c>
      <c r="E41" s="1">
        <v>2.8999999999999998E-3</v>
      </c>
      <c r="F41" s="1">
        <v>3.2000000000000002E-3</v>
      </c>
      <c r="G41" s="1">
        <v>3.5000000000000001E-3</v>
      </c>
      <c r="H41" s="1">
        <v>3.8E-3</v>
      </c>
      <c r="I41" s="1">
        <v>4.1999999999999997E-3</v>
      </c>
      <c r="J41" s="1">
        <v>4.7000000000000002E-3</v>
      </c>
      <c r="K41" s="1">
        <v>5.1999999999999998E-3</v>
      </c>
      <c r="L41" s="1">
        <v>5.7999999999999996E-3</v>
      </c>
      <c r="M41" s="1">
        <v>6.3E-3</v>
      </c>
      <c r="N41" s="1">
        <v>7.0000000000000001E-3</v>
      </c>
      <c r="O41" s="1">
        <v>7.7999999999999996E-3</v>
      </c>
      <c r="P41" s="1">
        <v>8.8000000000000005E-3</v>
      </c>
      <c r="Q41" s="1">
        <v>9.9000000000000008E-3</v>
      </c>
      <c r="R41" s="1">
        <v>1.1299999999999999E-2</v>
      </c>
      <c r="S41" s="1">
        <v>1.29E-2</v>
      </c>
      <c r="T41" s="1">
        <v>1.49E-2</v>
      </c>
      <c r="U41" s="1">
        <v>1.72E-2</v>
      </c>
      <c r="V41" s="1">
        <v>2.0199999999999999E-2</v>
      </c>
    </row>
    <row r="42" spans="2:22" x14ac:dyDescent="0.35">
      <c r="B42">
        <v>1991</v>
      </c>
      <c r="C42" s="1">
        <v>2.3999999999999998E-3</v>
      </c>
      <c r="D42" s="1">
        <v>2.7000000000000001E-3</v>
      </c>
      <c r="E42" s="1">
        <v>2.8999999999999998E-3</v>
      </c>
      <c r="F42" s="1">
        <v>3.0999999999999999E-3</v>
      </c>
      <c r="G42" s="1">
        <v>3.3999999999999998E-3</v>
      </c>
      <c r="H42" s="1">
        <v>3.8E-3</v>
      </c>
      <c r="I42" s="1">
        <v>4.1999999999999997E-3</v>
      </c>
      <c r="J42" s="1">
        <v>4.5999999999999999E-3</v>
      </c>
      <c r="K42" s="1">
        <v>5.1999999999999998E-3</v>
      </c>
      <c r="L42" s="1">
        <v>5.7999999999999996E-3</v>
      </c>
      <c r="M42" s="1">
        <v>6.1999999999999998E-3</v>
      </c>
      <c r="N42" s="1">
        <v>7.0000000000000001E-3</v>
      </c>
      <c r="O42" s="1">
        <v>7.7999999999999996E-3</v>
      </c>
      <c r="P42" s="1">
        <v>8.6999999999999994E-3</v>
      </c>
      <c r="Q42" s="1">
        <v>9.9000000000000008E-3</v>
      </c>
      <c r="R42" s="1">
        <v>1.12E-2</v>
      </c>
      <c r="S42" s="1">
        <v>1.29E-2</v>
      </c>
      <c r="T42" s="1">
        <v>1.4800000000000001E-2</v>
      </c>
      <c r="U42" s="1">
        <v>1.72E-2</v>
      </c>
      <c r="V42" s="1">
        <v>2.01E-2</v>
      </c>
    </row>
    <row r="43" spans="2:22" x14ac:dyDescent="0.35">
      <c r="B43">
        <v>1992</v>
      </c>
      <c r="C43" s="1">
        <v>2.3999999999999998E-3</v>
      </c>
      <c r="D43" s="1">
        <v>2.7000000000000001E-3</v>
      </c>
      <c r="E43" s="1">
        <v>2.8999999999999998E-3</v>
      </c>
      <c r="F43" s="1">
        <v>3.0999999999999999E-3</v>
      </c>
      <c r="G43" s="1">
        <v>3.3999999999999998E-3</v>
      </c>
      <c r="H43" s="1">
        <v>3.8E-3</v>
      </c>
      <c r="I43" s="1">
        <v>4.1999999999999997E-3</v>
      </c>
      <c r="J43" s="1">
        <v>4.5999999999999999E-3</v>
      </c>
      <c r="K43" s="1">
        <v>5.1999999999999998E-3</v>
      </c>
      <c r="L43" s="1">
        <v>5.7999999999999996E-3</v>
      </c>
      <c r="M43" s="1">
        <v>6.1999999999999998E-3</v>
      </c>
      <c r="N43" s="1">
        <v>6.8999999999999999E-3</v>
      </c>
      <c r="O43" s="1">
        <v>7.7999999999999996E-3</v>
      </c>
      <c r="P43" s="1">
        <v>8.6999999999999994E-3</v>
      </c>
      <c r="Q43" s="1">
        <v>9.9000000000000008E-3</v>
      </c>
      <c r="R43" s="1">
        <v>1.12E-2</v>
      </c>
      <c r="S43" s="1">
        <v>1.2800000000000001E-2</v>
      </c>
      <c r="T43" s="1">
        <v>1.4800000000000001E-2</v>
      </c>
      <c r="U43" s="1">
        <v>1.7100000000000001E-2</v>
      </c>
      <c r="V43" s="1">
        <v>0.02</v>
      </c>
    </row>
    <row r="44" spans="2:22" x14ac:dyDescent="0.35">
      <c r="B44">
        <v>1993</v>
      </c>
      <c r="C44" s="1">
        <v>2.3999999999999998E-3</v>
      </c>
      <c r="D44" s="1">
        <v>2.7000000000000001E-3</v>
      </c>
      <c r="E44" s="1">
        <v>2.8999999999999998E-3</v>
      </c>
      <c r="F44" s="1">
        <v>3.0999999999999999E-3</v>
      </c>
      <c r="G44" s="1">
        <v>3.3999999999999998E-3</v>
      </c>
      <c r="H44" s="1">
        <v>3.8E-3</v>
      </c>
      <c r="I44" s="1">
        <v>4.1999999999999997E-3</v>
      </c>
      <c r="J44" s="1">
        <v>4.5999999999999999E-3</v>
      </c>
      <c r="K44" s="1">
        <v>5.1999999999999998E-3</v>
      </c>
      <c r="L44" s="1">
        <v>5.7999999999999996E-3</v>
      </c>
      <c r="M44" s="1">
        <v>6.1999999999999998E-3</v>
      </c>
      <c r="N44" s="1">
        <v>6.8999999999999999E-3</v>
      </c>
      <c r="O44" s="1">
        <v>7.7000000000000002E-3</v>
      </c>
      <c r="P44" s="1">
        <v>8.6999999999999994E-3</v>
      </c>
      <c r="Q44" s="1">
        <v>9.7999999999999997E-3</v>
      </c>
      <c r="R44" s="1">
        <v>1.12E-2</v>
      </c>
      <c r="S44" s="1">
        <v>1.2800000000000001E-2</v>
      </c>
      <c r="T44" s="1">
        <v>1.47E-2</v>
      </c>
      <c r="U44" s="1">
        <v>1.7100000000000001E-2</v>
      </c>
      <c r="V44" s="1">
        <v>1.9900000000000001E-2</v>
      </c>
    </row>
    <row r="45" spans="2:22" x14ac:dyDescent="0.35">
      <c r="B45">
        <v>1994</v>
      </c>
      <c r="C45" s="1">
        <v>2.3999999999999998E-3</v>
      </c>
      <c r="D45" s="1">
        <v>2.7000000000000001E-3</v>
      </c>
      <c r="E45" s="1">
        <v>2.8999999999999998E-3</v>
      </c>
      <c r="F45" s="1">
        <v>3.0999999999999999E-3</v>
      </c>
      <c r="G45" s="1">
        <v>3.3999999999999998E-3</v>
      </c>
      <c r="H45" s="1">
        <v>3.8E-3</v>
      </c>
      <c r="I45" s="1">
        <v>4.1999999999999997E-3</v>
      </c>
      <c r="J45" s="1">
        <v>4.5999999999999999E-3</v>
      </c>
      <c r="K45" s="1">
        <v>5.1999999999999998E-3</v>
      </c>
      <c r="L45" s="1">
        <v>5.7999999999999996E-3</v>
      </c>
      <c r="M45" s="1">
        <v>6.1999999999999998E-3</v>
      </c>
      <c r="N45" s="1">
        <v>6.8999999999999999E-3</v>
      </c>
      <c r="O45" s="1">
        <v>7.7000000000000002E-3</v>
      </c>
      <c r="P45" s="1">
        <v>8.6999999999999994E-3</v>
      </c>
      <c r="Q45" s="1">
        <v>9.7999999999999997E-3</v>
      </c>
      <c r="R45" s="1">
        <v>1.11E-2</v>
      </c>
      <c r="S45" s="1">
        <v>1.2699999999999999E-2</v>
      </c>
      <c r="T45" s="1">
        <v>1.47E-2</v>
      </c>
      <c r="U45" s="1">
        <v>1.7000000000000001E-2</v>
      </c>
      <c r="V45" s="1">
        <v>1.9900000000000001E-2</v>
      </c>
    </row>
    <row r="46" spans="2:22" x14ac:dyDescent="0.35">
      <c r="B46">
        <v>1995</v>
      </c>
      <c r="C46" s="1">
        <v>2.3999999999999998E-3</v>
      </c>
      <c r="D46" s="1">
        <v>2.7000000000000001E-3</v>
      </c>
      <c r="E46" s="1">
        <v>2.8999999999999998E-3</v>
      </c>
      <c r="F46" s="1">
        <v>3.0999999999999999E-3</v>
      </c>
      <c r="G46" s="1">
        <v>3.3999999999999998E-3</v>
      </c>
      <c r="H46" s="1">
        <v>3.8E-3</v>
      </c>
      <c r="I46" s="1">
        <v>4.1999999999999997E-3</v>
      </c>
      <c r="J46" s="1">
        <v>4.5999999999999999E-3</v>
      </c>
      <c r="K46" s="1">
        <v>5.1999999999999998E-3</v>
      </c>
      <c r="L46" s="1">
        <v>5.7999999999999996E-3</v>
      </c>
      <c r="M46" s="1">
        <v>6.1999999999999998E-3</v>
      </c>
      <c r="N46" s="1">
        <v>6.8999999999999999E-3</v>
      </c>
      <c r="O46" s="1">
        <v>7.7000000000000002E-3</v>
      </c>
      <c r="P46" s="1">
        <v>8.6999999999999994E-3</v>
      </c>
      <c r="Q46" s="1">
        <v>9.7999999999999997E-3</v>
      </c>
      <c r="R46" s="1">
        <v>1.11E-2</v>
      </c>
      <c r="S46" s="1">
        <v>1.2699999999999999E-2</v>
      </c>
      <c r="T46" s="1">
        <v>1.46E-2</v>
      </c>
      <c r="U46" s="1">
        <v>1.6899999999999998E-2</v>
      </c>
      <c r="V46" s="1">
        <v>1.9800000000000002E-2</v>
      </c>
    </row>
    <row r="47" spans="2:22" x14ac:dyDescent="0.35">
      <c r="B47">
        <v>1996</v>
      </c>
      <c r="C47" s="1">
        <v>2.3999999999999998E-3</v>
      </c>
      <c r="D47" s="1">
        <v>2.5999999999999999E-3</v>
      </c>
      <c r="E47" s="1">
        <v>2.8999999999999998E-3</v>
      </c>
      <c r="F47" s="1">
        <v>3.0999999999999999E-3</v>
      </c>
      <c r="G47" s="1">
        <v>3.3999999999999998E-3</v>
      </c>
      <c r="H47" s="1">
        <v>3.8E-3</v>
      </c>
      <c r="I47" s="1">
        <v>4.1999999999999997E-3</v>
      </c>
      <c r="J47" s="1">
        <v>4.5999999999999999E-3</v>
      </c>
      <c r="K47" s="1">
        <v>5.1000000000000004E-3</v>
      </c>
      <c r="L47" s="1">
        <v>5.7999999999999996E-3</v>
      </c>
      <c r="M47" s="1">
        <v>6.1999999999999998E-3</v>
      </c>
      <c r="N47" s="1">
        <v>6.8999999999999999E-3</v>
      </c>
      <c r="O47" s="1">
        <v>7.7000000000000002E-3</v>
      </c>
      <c r="P47" s="1">
        <v>8.6E-3</v>
      </c>
      <c r="Q47" s="1">
        <v>9.7999999999999997E-3</v>
      </c>
      <c r="R47" s="1">
        <v>1.11E-2</v>
      </c>
      <c r="S47" s="1">
        <v>1.2699999999999999E-2</v>
      </c>
      <c r="T47" s="1">
        <v>1.46E-2</v>
      </c>
      <c r="U47" s="1">
        <v>1.6899999999999998E-2</v>
      </c>
      <c r="V47" s="1">
        <v>1.9699999999999999E-2</v>
      </c>
    </row>
    <row r="48" spans="2:22" x14ac:dyDescent="0.35">
      <c r="B48">
        <v>1997</v>
      </c>
      <c r="C48" s="1">
        <v>2.3999999999999998E-3</v>
      </c>
      <c r="D48" s="1">
        <v>2.5999999999999999E-3</v>
      </c>
      <c r="E48" s="1">
        <v>2.8999999999999998E-3</v>
      </c>
      <c r="F48" s="1">
        <v>3.0999999999999999E-3</v>
      </c>
      <c r="G48" s="1">
        <v>3.3999999999999998E-3</v>
      </c>
      <c r="H48" s="1">
        <v>3.8E-3</v>
      </c>
      <c r="I48" s="1">
        <v>4.1999999999999997E-3</v>
      </c>
      <c r="J48" s="1">
        <v>4.5999999999999999E-3</v>
      </c>
      <c r="K48" s="1">
        <v>5.1000000000000004E-3</v>
      </c>
      <c r="L48" s="1">
        <v>5.7999999999999996E-3</v>
      </c>
      <c r="M48" s="1">
        <v>6.1999999999999998E-3</v>
      </c>
      <c r="N48" s="1">
        <v>6.8999999999999999E-3</v>
      </c>
      <c r="O48" s="1">
        <v>7.7000000000000002E-3</v>
      </c>
      <c r="P48" s="1">
        <v>8.6E-3</v>
      </c>
      <c r="Q48" s="1">
        <v>9.7000000000000003E-3</v>
      </c>
      <c r="R48" s="1">
        <v>1.11E-2</v>
      </c>
      <c r="S48" s="1">
        <v>1.26E-2</v>
      </c>
      <c r="T48" s="1">
        <v>1.4500000000000001E-2</v>
      </c>
      <c r="U48" s="1">
        <v>1.6799999999999999E-2</v>
      </c>
      <c r="V48" s="1">
        <v>1.9599999999999999E-2</v>
      </c>
    </row>
    <row r="49" spans="2:22" x14ac:dyDescent="0.35">
      <c r="B49">
        <v>1998</v>
      </c>
      <c r="C49" s="1">
        <v>2.3999999999999998E-3</v>
      </c>
      <c r="D49" s="1">
        <v>2.5999999999999999E-3</v>
      </c>
      <c r="E49" s="1">
        <v>2.8999999999999998E-3</v>
      </c>
      <c r="F49" s="1">
        <v>3.0999999999999999E-3</v>
      </c>
      <c r="G49" s="1">
        <v>3.3999999999999998E-3</v>
      </c>
      <c r="H49" s="1">
        <v>3.8E-3</v>
      </c>
      <c r="I49" s="1">
        <v>4.1999999999999997E-3</v>
      </c>
      <c r="J49" s="1">
        <v>4.5999999999999999E-3</v>
      </c>
      <c r="K49" s="1">
        <v>5.1000000000000004E-3</v>
      </c>
      <c r="L49" s="1">
        <v>5.7000000000000002E-3</v>
      </c>
      <c r="M49" s="1">
        <v>6.1999999999999998E-3</v>
      </c>
      <c r="N49" s="1">
        <v>6.8999999999999999E-3</v>
      </c>
      <c r="O49" s="1">
        <v>7.7000000000000002E-3</v>
      </c>
      <c r="P49" s="1">
        <v>8.6E-3</v>
      </c>
      <c r="Q49" s="1">
        <v>9.7000000000000003E-3</v>
      </c>
      <c r="R49" s="1">
        <v>1.0999999999999999E-2</v>
      </c>
      <c r="S49" s="1">
        <v>1.26E-2</v>
      </c>
      <c r="T49" s="1">
        <v>1.4500000000000001E-2</v>
      </c>
      <c r="U49" s="1">
        <v>1.6799999999999999E-2</v>
      </c>
      <c r="V49" s="1">
        <v>1.9599999999999999E-2</v>
      </c>
    </row>
    <row r="50" spans="2:22" x14ac:dyDescent="0.35">
      <c r="B50">
        <v>1999</v>
      </c>
      <c r="C50" s="1">
        <v>2.3999999999999998E-3</v>
      </c>
      <c r="D50" s="1">
        <v>2.5999999999999999E-3</v>
      </c>
      <c r="E50" s="1">
        <v>2.8999999999999998E-3</v>
      </c>
      <c r="F50" s="1">
        <v>3.0999999999999999E-3</v>
      </c>
      <c r="G50" s="1">
        <v>3.3999999999999998E-3</v>
      </c>
      <c r="H50" s="1">
        <v>3.8E-3</v>
      </c>
      <c r="I50" s="1">
        <v>4.1999999999999997E-3</v>
      </c>
      <c r="J50" s="1">
        <v>4.5999999999999999E-3</v>
      </c>
      <c r="K50" s="1">
        <v>5.1000000000000004E-3</v>
      </c>
      <c r="L50" s="1">
        <v>5.7000000000000002E-3</v>
      </c>
      <c r="M50" s="1">
        <v>6.1999999999999998E-3</v>
      </c>
      <c r="N50" s="1">
        <v>6.7999999999999996E-3</v>
      </c>
      <c r="O50" s="1">
        <v>7.7000000000000002E-3</v>
      </c>
      <c r="P50" s="1">
        <v>8.6E-3</v>
      </c>
      <c r="Q50" s="1">
        <v>9.7000000000000003E-3</v>
      </c>
      <c r="R50" s="1">
        <v>1.0999999999999999E-2</v>
      </c>
      <c r="S50" s="1">
        <v>1.26E-2</v>
      </c>
      <c r="T50" s="1">
        <v>1.44E-2</v>
      </c>
      <c r="U50" s="1">
        <v>1.67E-2</v>
      </c>
      <c r="V50" s="1">
        <v>1.95E-2</v>
      </c>
    </row>
    <row r="51" spans="2:22" x14ac:dyDescent="0.35">
      <c r="B51">
        <v>2000</v>
      </c>
      <c r="C51" s="1">
        <v>2.3999999999999998E-3</v>
      </c>
      <c r="D51" s="1">
        <v>2.5999999999999999E-3</v>
      </c>
      <c r="E51" s="1">
        <v>2.8999999999999998E-3</v>
      </c>
      <c r="F51" s="1">
        <v>3.0999999999999999E-3</v>
      </c>
      <c r="G51" s="1">
        <v>3.3999999999999998E-3</v>
      </c>
      <c r="H51" s="1">
        <v>3.8E-3</v>
      </c>
      <c r="I51" s="1">
        <v>4.1000000000000003E-3</v>
      </c>
      <c r="J51" s="1">
        <v>4.5999999999999999E-3</v>
      </c>
      <c r="K51" s="1">
        <v>5.1000000000000004E-3</v>
      </c>
      <c r="L51" s="1">
        <v>5.7000000000000002E-3</v>
      </c>
      <c r="M51" s="1">
        <v>6.1000000000000004E-3</v>
      </c>
      <c r="N51" s="1">
        <v>6.7999999999999996E-3</v>
      </c>
      <c r="O51" s="1">
        <v>7.6E-3</v>
      </c>
      <c r="P51" s="1">
        <v>8.6E-3</v>
      </c>
      <c r="Q51" s="1">
        <v>9.7000000000000003E-3</v>
      </c>
      <c r="R51" s="1">
        <v>1.0999999999999999E-2</v>
      </c>
      <c r="S51" s="1">
        <v>1.2500000000000001E-2</v>
      </c>
      <c r="T51" s="1">
        <v>1.44E-2</v>
      </c>
      <c r="U51" s="1">
        <v>1.66E-2</v>
      </c>
      <c r="V51" s="1">
        <v>1.9400000000000001E-2</v>
      </c>
    </row>
    <row r="52" spans="2:22" x14ac:dyDescent="0.35">
      <c r="B52">
        <v>2001</v>
      </c>
      <c r="C52" s="1">
        <v>2.3999999999999998E-3</v>
      </c>
      <c r="D52" s="1">
        <v>2.5999999999999999E-3</v>
      </c>
      <c r="E52" s="1">
        <v>2.8999999999999998E-3</v>
      </c>
      <c r="F52" s="1">
        <v>3.0999999999999999E-3</v>
      </c>
      <c r="G52" s="1">
        <v>3.3999999999999998E-3</v>
      </c>
      <c r="H52" s="1">
        <v>3.8E-3</v>
      </c>
      <c r="I52" s="1">
        <v>4.1000000000000003E-3</v>
      </c>
      <c r="J52" s="1">
        <v>4.5999999999999999E-3</v>
      </c>
      <c r="K52" s="1">
        <v>5.1000000000000004E-3</v>
      </c>
      <c r="L52" s="1">
        <v>5.7000000000000002E-3</v>
      </c>
      <c r="M52" s="1">
        <v>6.1000000000000004E-3</v>
      </c>
      <c r="N52" s="1">
        <v>6.7999999999999996E-3</v>
      </c>
      <c r="O52" s="1">
        <v>7.6E-3</v>
      </c>
      <c r="P52" s="1">
        <v>8.6E-3</v>
      </c>
      <c r="Q52" s="1">
        <v>9.5999999999999992E-3</v>
      </c>
      <c r="R52" s="1">
        <v>1.09E-2</v>
      </c>
      <c r="S52" s="1">
        <v>1.2500000000000001E-2</v>
      </c>
      <c r="T52" s="1">
        <v>1.43E-2</v>
      </c>
      <c r="U52" s="1">
        <v>1.66E-2</v>
      </c>
      <c r="V52" s="1">
        <v>1.9300000000000001E-2</v>
      </c>
    </row>
    <row r="53" spans="2:22" x14ac:dyDescent="0.35">
      <c r="B53">
        <v>2002</v>
      </c>
      <c r="C53" s="1">
        <v>2.3999999999999998E-3</v>
      </c>
      <c r="D53" s="1">
        <v>2.5999999999999999E-3</v>
      </c>
      <c r="E53" s="1">
        <v>2.8999999999999998E-3</v>
      </c>
      <c r="F53" s="1">
        <v>3.0999999999999999E-3</v>
      </c>
      <c r="G53" s="1">
        <v>3.3999999999999998E-3</v>
      </c>
      <c r="H53" s="1">
        <v>3.8E-3</v>
      </c>
      <c r="I53" s="1">
        <v>4.1000000000000003E-3</v>
      </c>
      <c r="J53" s="1">
        <v>4.5999999999999999E-3</v>
      </c>
      <c r="K53" s="1">
        <v>5.1000000000000004E-3</v>
      </c>
      <c r="L53" s="1">
        <v>5.7000000000000002E-3</v>
      </c>
      <c r="M53" s="1">
        <v>6.1000000000000004E-3</v>
      </c>
      <c r="N53" s="1">
        <v>6.7999999999999996E-3</v>
      </c>
      <c r="O53" s="1">
        <v>7.6E-3</v>
      </c>
      <c r="P53" s="1">
        <v>8.5000000000000006E-3</v>
      </c>
      <c r="Q53" s="1">
        <v>9.5999999999999992E-3</v>
      </c>
      <c r="R53" s="1">
        <v>1.09E-2</v>
      </c>
      <c r="S53" s="1">
        <v>1.24E-2</v>
      </c>
      <c r="T53" s="1">
        <v>1.43E-2</v>
      </c>
      <c r="U53" s="1">
        <v>1.6500000000000001E-2</v>
      </c>
      <c r="V53" s="1">
        <v>1.9300000000000001E-2</v>
      </c>
    </row>
    <row r="54" spans="2:22" x14ac:dyDescent="0.35">
      <c r="B54">
        <v>2003</v>
      </c>
      <c r="C54" s="1">
        <v>2.3999999999999998E-3</v>
      </c>
      <c r="D54" s="1">
        <v>2.5999999999999999E-3</v>
      </c>
      <c r="E54" s="1">
        <v>2.8999999999999998E-3</v>
      </c>
      <c r="F54" s="1">
        <v>3.0999999999999999E-3</v>
      </c>
      <c r="G54" s="1">
        <v>3.3999999999999998E-3</v>
      </c>
      <c r="H54" s="1">
        <v>3.8E-3</v>
      </c>
      <c r="I54" s="1">
        <v>4.1000000000000003E-3</v>
      </c>
      <c r="J54" s="1">
        <v>4.5999999999999999E-3</v>
      </c>
      <c r="K54" s="1">
        <v>5.1000000000000004E-3</v>
      </c>
      <c r="L54" s="1">
        <v>5.7000000000000002E-3</v>
      </c>
      <c r="M54" s="1">
        <v>6.1000000000000004E-3</v>
      </c>
      <c r="N54" s="1">
        <v>6.7999999999999996E-3</v>
      </c>
      <c r="O54" s="1">
        <v>7.6E-3</v>
      </c>
      <c r="P54" s="1">
        <v>8.5000000000000006E-3</v>
      </c>
      <c r="Q54" s="1">
        <v>9.5999999999999992E-3</v>
      </c>
      <c r="R54" s="1">
        <v>1.09E-2</v>
      </c>
      <c r="S54" s="1">
        <v>1.24E-2</v>
      </c>
      <c r="T54" s="1">
        <v>1.4200000000000001E-2</v>
      </c>
      <c r="U54" s="1">
        <v>1.6500000000000001E-2</v>
      </c>
      <c r="V54" s="1">
        <v>1.9199999999999998E-2</v>
      </c>
    </row>
    <row r="55" spans="2:22" x14ac:dyDescent="0.35">
      <c r="B55">
        <v>2004</v>
      </c>
      <c r="C55" s="1">
        <v>2.3999999999999998E-3</v>
      </c>
      <c r="D55" s="1">
        <v>2.5999999999999999E-3</v>
      </c>
      <c r="E55" s="1">
        <v>2.8999999999999998E-3</v>
      </c>
      <c r="F55" s="1">
        <v>3.0999999999999999E-3</v>
      </c>
      <c r="G55" s="1">
        <v>3.3999999999999998E-3</v>
      </c>
      <c r="H55" s="1">
        <v>3.7000000000000002E-3</v>
      </c>
      <c r="I55" s="1">
        <v>4.1000000000000003E-3</v>
      </c>
      <c r="J55" s="1">
        <v>4.5999999999999999E-3</v>
      </c>
      <c r="K55" s="1">
        <v>5.1000000000000004E-3</v>
      </c>
      <c r="L55" s="1">
        <v>5.7000000000000002E-3</v>
      </c>
      <c r="M55" s="1">
        <v>6.1000000000000004E-3</v>
      </c>
      <c r="N55" s="1">
        <v>6.7999999999999996E-3</v>
      </c>
      <c r="O55" s="1">
        <v>7.6E-3</v>
      </c>
      <c r="P55" s="1">
        <v>8.5000000000000006E-3</v>
      </c>
      <c r="Q55" s="1">
        <v>9.5999999999999992E-3</v>
      </c>
      <c r="R55" s="1">
        <v>1.09E-2</v>
      </c>
      <c r="S55" s="1">
        <v>1.24E-2</v>
      </c>
      <c r="T55" s="1">
        <v>1.4200000000000001E-2</v>
      </c>
      <c r="U55" s="1">
        <v>1.6400000000000001E-2</v>
      </c>
      <c r="V55" s="1">
        <v>1.9099999999999999E-2</v>
      </c>
    </row>
    <row r="56" spans="2:22" x14ac:dyDescent="0.35">
      <c r="B56">
        <v>2005</v>
      </c>
      <c r="C56" s="1">
        <v>2.3999999999999998E-3</v>
      </c>
      <c r="D56" s="1">
        <v>2.5999999999999999E-3</v>
      </c>
      <c r="E56" s="1">
        <v>2.8999999999999998E-3</v>
      </c>
      <c r="F56" s="1">
        <v>3.0999999999999999E-3</v>
      </c>
      <c r="G56" s="1">
        <v>3.3999999999999998E-3</v>
      </c>
      <c r="H56" s="1">
        <v>3.7000000000000002E-3</v>
      </c>
      <c r="I56" s="1">
        <v>4.1000000000000003E-3</v>
      </c>
      <c r="J56" s="1">
        <v>4.5999999999999999E-3</v>
      </c>
      <c r="K56" s="1">
        <v>5.1000000000000004E-3</v>
      </c>
      <c r="L56" s="1">
        <v>5.7000000000000002E-3</v>
      </c>
      <c r="M56" s="1">
        <v>6.1000000000000004E-3</v>
      </c>
      <c r="N56" s="1">
        <v>6.7999999999999996E-3</v>
      </c>
      <c r="O56" s="1">
        <v>7.6E-3</v>
      </c>
      <c r="P56" s="1">
        <v>8.5000000000000006E-3</v>
      </c>
      <c r="Q56" s="1">
        <v>9.5999999999999992E-3</v>
      </c>
      <c r="R56" s="1">
        <v>1.0800000000000001E-2</v>
      </c>
      <c r="S56" s="1">
        <v>1.23E-2</v>
      </c>
      <c r="T56" s="1">
        <v>1.4200000000000001E-2</v>
      </c>
      <c r="U56" s="1">
        <v>1.6400000000000001E-2</v>
      </c>
      <c r="V56" s="1">
        <v>1.9099999999999999E-2</v>
      </c>
    </row>
    <row r="57" spans="2:22" x14ac:dyDescent="0.35">
      <c r="B57">
        <v>2006</v>
      </c>
      <c r="C57" s="1">
        <v>2.3999999999999998E-3</v>
      </c>
      <c r="D57" s="1">
        <v>2.5999999999999999E-3</v>
      </c>
      <c r="E57" s="1">
        <v>2.8999999999999998E-3</v>
      </c>
      <c r="F57" s="1">
        <v>3.0999999999999999E-3</v>
      </c>
      <c r="G57" s="1">
        <v>3.3999999999999998E-3</v>
      </c>
      <c r="H57" s="1">
        <v>3.7000000000000002E-3</v>
      </c>
      <c r="I57" s="1">
        <v>4.1000000000000003E-3</v>
      </c>
      <c r="J57" s="1">
        <v>4.5999999999999999E-3</v>
      </c>
      <c r="K57" s="1">
        <v>5.1000000000000004E-3</v>
      </c>
      <c r="L57" s="1">
        <v>5.7000000000000002E-3</v>
      </c>
      <c r="M57" s="1">
        <v>6.1000000000000004E-3</v>
      </c>
      <c r="N57" s="1">
        <v>6.7999999999999996E-3</v>
      </c>
      <c r="O57" s="1">
        <v>7.4999999999999997E-3</v>
      </c>
      <c r="P57" s="1">
        <v>8.5000000000000006E-3</v>
      </c>
      <c r="Q57" s="1">
        <v>9.4999999999999998E-3</v>
      </c>
      <c r="R57" s="1">
        <v>1.0800000000000001E-2</v>
      </c>
      <c r="S57" s="1">
        <v>1.23E-2</v>
      </c>
      <c r="T57" s="1">
        <v>1.41E-2</v>
      </c>
      <c r="U57" s="1">
        <v>1.6299999999999999E-2</v>
      </c>
      <c r="V57" s="1">
        <v>1.9E-2</v>
      </c>
    </row>
    <row r="58" spans="2:22" x14ac:dyDescent="0.35">
      <c r="B58">
        <v>2007</v>
      </c>
      <c r="C58" s="1">
        <v>2.3999999999999998E-3</v>
      </c>
      <c r="D58" s="1">
        <v>2.5999999999999999E-3</v>
      </c>
      <c r="E58" s="1">
        <v>2.8999999999999998E-3</v>
      </c>
      <c r="F58" s="1">
        <v>3.0999999999999999E-3</v>
      </c>
      <c r="G58" s="1">
        <v>3.3999999999999998E-3</v>
      </c>
      <c r="H58" s="1">
        <v>3.7000000000000002E-3</v>
      </c>
      <c r="I58" s="1">
        <v>4.1000000000000003E-3</v>
      </c>
      <c r="J58" s="1">
        <v>4.5999999999999999E-3</v>
      </c>
      <c r="K58" s="1">
        <v>5.1000000000000004E-3</v>
      </c>
      <c r="L58" s="1">
        <v>5.7000000000000002E-3</v>
      </c>
      <c r="M58" s="1">
        <v>6.1000000000000004E-3</v>
      </c>
      <c r="N58" s="1">
        <v>6.7999999999999996E-3</v>
      </c>
      <c r="O58" s="1">
        <v>7.4999999999999997E-3</v>
      </c>
      <c r="P58" s="1">
        <v>8.3999999999999995E-3</v>
      </c>
      <c r="Q58" s="1">
        <v>9.4999999999999998E-3</v>
      </c>
      <c r="R58" s="1">
        <v>1.0800000000000001E-2</v>
      </c>
      <c r="S58" s="1">
        <v>1.23E-2</v>
      </c>
      <c r="T58" s="1">
        <v>1.41E-2</v>
      </c>
      <c r="U58" s="1">
        <v>1.6299999999999999E-2</v>
      </c>
      <c r="V58" s="1">
        <v>1.89E-2</v>
      </c>
    </row>
    <row r="59" spans="2:22" x14ac:dyDescent="0.35">
      <c r="B59">
        <v>2008</v>
      </c>
      <c r="C59" s="1">
        <v>2.3999999999999998E-3</v>
      </c>
      <c r="D59" s="1">
        <v>2.5999999999999999E-3</v>
      </c>
      <c r="E59" s="1">
        <v>2.8999999999999998E-3</v>
      </c>
      <c r="F59" s="1">
        <v>3.0999999999999999E-3</v>
      </c>
      <c r="G59" s="1">
        <v>3.3999999999999998E-3</v>
      </c>
      <c r="H59" s="1">
        <v>3.7000000000000002E-3</v>
      </c>
      <c r="I59" s="1">
        <v>4.1000000000000003E-3</v>
      </c>
      <c r="J59" s="1">
        <v>4.5999999999999999E-3</v>
      </c>
      <c r="K59" s="1">
        <v>5.1000000000000004E-3</v>
      </c>
      <c r="L59" s="1">
        <v>5.7000000000000002E-3</v>
      </c>
      <c r="M59" s="1">
        <v>6.1000000000000004E-3</v>
      </c>
      <c r="N59" s="1">
        <v>6.7000000000000002E-3</v>
      </c>
      <c r="O59" s="1">
        <v>7.4999999999999997E-3</v>
      </c>
      <c r="P59" s="1">
        <v>8.3999999999999995E-3</v>
      </c>
      <c r="Q59" s="1">
        <v>9.4999999999999998E-3</v>
      </c>
      <c r="R59" s="1">
        <v>1.0699999999999999E-2</v>
      </c>
      <c r="S59" s="1">
        <v>1.2200000000000001E-2</v>
      </c>
      <c r="T59" s="1">
        <v>1.4E-2</v>
      </c>
      <c r="U59" s="1">
        <v>1.6199999999999999E-2</v>
      </c>
      <c r="V59" s="1">
        <v>1.89E-2</v>
      </c>
    </row>
    <row r="60" spans="2:22" x14ac:dyDescent="0.35">
      <c r="B60">
        <v>2009</v>
      </c>
      <c r="C60" s="1">
        <v>2.3999999999999998E-3</v>
      </c>
      <c r="D60" s="1">
        <v>2.5999999999999999E-3</v>
      </c>
      <c r="E60" s="1">
        <v>2.8999999999999998E-3</v>
      </c>
      <c r="F60" s="1">
        <v>3.0999999999999999E-3</v>
      </c>
      <c r="G60" s="1">
        <v>3.3999999999999998E-3</v>
      </c>
      <c r="H60" s="1">
        <v>3.7000000000000002E-3</v>
      </c>
      <c r="I60" s="1">
        <v>4.1000000000000003E-3</v>
      </c>
      <c r="J60" s="1">
        <v>4.4999999999999997E-3</v>
      </c>
      <c r="K60" s="1">
        <v>5.1000000000000004E-3</v>
      </c>
      <c r="L60" s="1">
        <v>5.7000000000000002E-3</v>
      </c>
      <c r="M60" s="1">
        <v>6.1000000000000004E-3</v>
      </c>
      <c r="N60" s="1">
        <v>6.7000000000000002E-3</v>
      </c>
      <c r="O60" s="1">
        <v>7.4999999999999997E-3</v>
      </c>
      <c r="P60" s="1">
        <v>8.3999999999999995E-3</v>
      </c>
      <c r="Q60" s="1">
        <v>9.4999999999999998E-3</v>
      </c>
      <c r="R60" s="1">
        <v>1.0699999999999999E-2</v>
      </c>
      <c r="S60" s="1">
        <v>1.2200000000000001E-2</v>
      </c>
      <c r="T60" s="1">
        <v>1.4E-2</v>
      </c>
      <c r="U60" s="1">
        <v>1.6199999999999999E-2</v>
      </c>
      <c r="V60" s="1">
        <v>1.8800000000000001E-2</v>
      </c>
    </row>
    <row r="61" spans="2:22" x14ac:dyDescent="0.35">
      <c r="B61">
        <v>2010</v>
      </c>
      <c r="C61" s="1">
        <v>2.3999999999999998E-3</v>
      </c>
      <c r="D61" s="1">
        <v>2.5999999999999999E-3</v>
      </c>
      <c r="E61" s="1">
        <v>2.8999999999999998E-3</v>
      </c>
      <c r="F61" s="1">
        <v>3.0999999999999999E-3</v>
      </c>
      <c r="G61" s="1">
        <v>3.3999999999999998E-3</v>
      </c>
      <c r="H61" s="1">
        <v>3.7000000000000002E-3</v>
      </c>
      <c r="I61" s="1">
        <v>4.1000000000000003E-3</v>
      </c>
      <c r="J61" s="1">
        <v>4.4999999999999997E-3</v>
      </c>
      <c r="K61" s="1">
        <v>5.1000000000000004E-3</v>
      </c>
      <c r="L61" s="1">
        <v>5.5999999999999999E-3</v>
      </c>
      <c r="M61" s="1">
        <v>6.1000000000000004E-3</v>
      </c>
      <c r="N61" s="1">
        <v>6.7000000000000002E-3</v>
      </c>
      <c r="O61" s="1">
        <v>7.4999999999999997E-3</v>
      </c>
      <c r="P61" s="1">
        <v>8.3999999999999995E-3</v>
      </c>
      <c r="Q61" s="1">
        <v>9.4000000000000004E-3</v>
      </c>
      <c r="R61" s="1">
        <v>1.0699999999999999E-2</v>
      </c>
      <c r="S61" s="1">
        <v>1.2200000000000001E-2</v>
      </c>
      <c r="T61" s="1">
        <v>1.3899999999999999E-2</v>
      </c>
      <c r="U61" s="1">
        <v>1.61E-2</v>
      </c>
      <c r="V61" s="1">
        <v>1.8700000000000001E-2</v>
      </c>
    </row>
    <row r="62" spans="2:22" x14ac:dyDescent="0.35">
      <c r="B62">
        <v>2011</v>
      </c>
      <c r="C62" s="1">
        <v>2.3999999999999998E-3</v>
      </c>
      <c r="D62" s="1">
        <v>2.5999999999999999E-3</v>
      </c>
      <c r="E62" s="1">
        <v>2.8999999999999998E-3</v>
      </c>
      <c r="F62" s="1">
        <v>3.0999999999999999E-3</v>
      </c>
      <c r="G62" s="1">
        <v>3.3999999999999998E-3</v>
      </c>
      <c r="H62" s="1">
        <v>3.7000000000000002E-3</v>
      </c>
      <c r="I62" s="1">
        <v>4.1000000000000003E-3</v>
      </c>
      <c r="J62" s="1">
        <v>4.4999999999999997E-3</v>
      </c>
      <c r="K62" s="1">
        <v>5.0000000000000001E-3</v>
      </c>
      <c r="L62" s="1">
        <v>5.5999999999999999E-3</v>
      </c>
      <c r="M62" s="1">
        <v>6.0000000000000001E-3</v>
      </c>
      <c r="N62" s="1">
        <v>6.7000000000000002E-3</v>
      </c>
      <c r="O62" s="1">
        <v>7.4999999999999997E-3</v>
      </c>
      <c r="P62" s="1">
        <v>8.3999999999999995E-3</v>
      </c>
      <c r="Q62" s="1">
        <v>9.4000000000000004E-3</v>
      </c>
      <c r="R62" s="1">
        <v>1.0699999999999999E-2</v>
      </c>
      <c r="S62" s="1">
        <v>1.21E-2</v>
      </c>
      <c r="T62" s="1">
        <v>1.3899999999999999E-2</v>
      </c>
      <c r="U62" s="1">
        <v>1.6E-2</v>
      </c>
      <c r="V62" s="1">
        <v>1.8700000000000001E-2</v>
      </c>
    </row>
    <row r="63" spans="2:22" x14ac:dyDescent="0.35">
      <c r="B63">
        <v>2012</v>
      </c>
      <c r="C63" s="1">
        <v>2.3999999999999998E-3</v>
      </c>
      <c r="D63" s="1">
        <v>2.5999999999999999E-3</v>
      </c>
      <c r="E63" s="1">
        <v>2.8999999999999998E-3</v>
      </c>
      <c r="F63" s="1">
        <v>3.0999999999999999E-3</v>
      </c>
      <c r="G63" s="1">
        <v>3.3999999999999998E-3</v>
      </c>
      <c r="H63" s="1">
        <v>3.7000000000000002E-3</v>
      </c>
      <c r="I63" s="1">
        <v>4.1000000000000003E-3</v>
      </c>
      <c r="J63" s="1">
        <v>4.4999999999999997E-3</v>
      </c>
      <c r="K63" s="1">
        <v>5.0000000000000001E-3</v>
      </c>
      <c r="L63" s="1">
        <v>5.5999999999999999E-3</v>
      </c>
      <c r="M63" s="1">
        <v>6.0000000000000001E-3</v>
      </c>
      <c r="N63" s="1">
        <v>6.7000000000000002E-3</v>
      </c>
      <c r="O63" s="1">
        <v>7.4999999999999997E-3</v>
      </c>
      <c r="P63" s="1">
        <v>8.3999999999999995E-3</v>
      </c>
      <c r="Q63" s="1">
        <v>9.4000000000000004E-3</v>
      </c>
      <c r="R63" s="1">
        <v>1.06E-2</v>
      </c>
      <c r="S63" s="1">
        <v>1.21E-2</v>
      </c>
      <c r="T63" s="1">
        <v>1.3899999999999999E-2</v>
      </c>
      <c r="U63" s="1">
        <v>1.6E-2</v>
      </c>
      <c r="V63" s="1">
        <v>1.8599999999999998E-2</v>
      </c>
    </row>
    <row r="64" spans="2:22" x14ac:dyDescent="0.35">
      <c r="B64">
        <v>2013</v>
      </c>
      <c r="C64" s="1">
        <v>2.3999999999999998E-3</v>
      </c>
      <c r="D64" s="1">
        <v>2.5999999999999999E-3</v>
      </c>
      <c r="E64" s="1">
        <v>2.8999999999999998E-3</v>
      </c>
      <c r="F64" s="1">
        <v>3.0999999999999999E-3</v>
      </c>
      <c r="G64" s="1">
        <v>3.3999999999999998E-3</v>
      </c>
      <c r="H64" s="1">
        <v>3.7000000000000002E-3</v>
      </c>
      <c r="I64" s="1">
        <v>4.1000000000000003E-3</v>
      </c>
      <c r="J64" s="1">
        <v>4.4999999999999997E-3</v>
      </c>
      <c r="K64" s="1">
        <v>5.0000000000000001E-3</v>
      </c>
      <c r="L64" s="1">
        <v>5.5999999999999999E-3</v>
      </c>
      <c r="M64" s="1">
        <v>6.0000000000000001E-3</v>
      </c>
      <c r="N64" s="1">
        <v>6.7000000000000002E-3</v>
      </c>
      <c r="O64" s="1">
        <v>7.4999999999999997E-3</v>
      </c>
      <c r="P64" s="1">
        <v>8.3000000000000001E-3</v>
      </c>
      <c r="Q64" s="1">
        <v>9.4000000000000004E-3</v>
      </c>
      <c r="R64" s="1">
        <v>1.06E-2</v>
      </c>
      <c r="S64" s="1">
        <v>1.21E-2</v>
      </c>
      <c r="T64" s="1">
        <v>1.38E-2</v>
      </c>
      <c r="U64" s="1">
        <v>1.5900000000000001E-2</v>
      </c>
      <c r="V64" s="1">
        <v>1.8499999999999999E-2</v>
      </c>
    </row>
    <row r="65" spans="2:22" x14ac:dyDescent="0.35">
      <c r="B65">
        <v>2014</v>
      </c>
      <c r="C65" s="1">
        <v>2.3999999999999998E-3</v>
      </c>
      <c r="D65" s="1">
        <v>2.5999999999999999E-3</v>
      </c>
      <c r="E65" s="1">
        <v>2.8999999999999998E-3</v>
      </c>
      <c r="F65" s="1">
        <v>3.0999999999999999E-3</v>
      </c>
      <c r="G65" s="1">
        <v>3.3999999999999998E-3</v>
      </c>
      <c r="H65" s="1">
        <v>3.7000000000000002E-3</v>
      </c>
      <c r="I65" s="1">
        <v>4.1000000000000003E-3</v>
      </c>
      <c r="J65" s="1">
        <v>4.4999999999999997E-3</v>
      </c>
      <c r="K65" s="1">
        <v>5.0000000000000001E-3</v>
      </c>
      <c r="L65" s="1">
        <v>5.5999999999999999E-3</v>
      </c>
      <c r="M65" s="1">
        <v>6.0000000000000001E-3</v>
      </c>
      <c r="N65" s="1">
        <v>6.7000000000000002E-3</v>
      </c>
      <c r="O65" s="1">
        <v>7.4000000000000003E-3</v>
      </c>
      <c r="P65" s="1">
        <v>8.3000000000000001E-3</v>
      </c>
      <c r="Q65" s="1">
        <v>9.4000000000000004E-3</v>
      </c>
      <c r="R65" s="1">
        <v>1.06E-2</v>
      </c>
      <c r="S65" s="1">
        <v>1.2E-2</v>
      </c>
      <c r="T65" s="1">
        <v>1.38E-2</v>
      </c>
      <c r="U65" s="1">
        <v>1.5900000000000001E-2</v>
      </c>
      <c r="V65" s="1">
        <v>1.8499999999999999E-2</v>
      </c>
    </row>
    <row r="66" spans="2:22" x14ac:dyDescent="0.35">
      <c r="B66">
        <v>2015</v>
      </c>
      <c r="C66" s="1">
        <v>2.3999999999999998E-3</v>
      </c>
      <c r="D66" s="1">
        <v>2.5999999999999999E-3</v>
      </c>
      <c r="E66" s="1">
        <v>2.8999999999999998E-3</v>
      </c>
      <c r="F66" s="1">
        <v>3.0999999999999999E-3</v>
      </c>
      <c r="G66" s="1">
        <v>3.3999999999999998E-3</v>
      </c>
      <c r="H66" s="1">
        <v>3.7000000000000002E-3</v>
      </c>
      <c r="I66" s="1">
        <v>4.1000000000000003E-3</v>
      </c>
      <c r="J66" s="1">
        <v>4.4999999999999997E-3</v>
      </c>
      <c r="K66" s="1">
        <v>5.0000000000000001E-3</v>
      </c>
      <c r="L66" s="1">
        <v>5.5999999999999999E-3</v>
      </c>
      <c r="M66" s="1">
        <v>6.0000000000000001E-3</v>
      </c>
      <c r="N66" s="1">
        <v>6.7000000000000002E-3</v>
      </c>
      <c r="O66" s="1">
        <v>7.4000000000000003E-3</v>
      </c>
      <c r="P66" s="1">
        <v>8.3000000000000001E-3</v>
      </c>
      <c r="Q66" s="1">
        <v>9.2999999999999992E-3</v>
      </c>
      <c r="R66" s="1">
        <v>1.06E-2</v>
      </c>
      <c r="S66" s="1">
        <v>1.2E-2</v>
      </c>
      <c r="T66" s="1">
        <v>1.37E-2</v>
      </c>
      <c r="U66" s="1">
        <v>1.5800000000000002E-2</v>
      </c>
      <c r="V66" s="1">
        <v>1.84E-2</v>
      </c>
    </row>
  </sheetData>
  <sheetProtection algorithmName="SHA-512" hashValue="LjqjRxLw61ZIAdQO/ejCgGCMrTAB+Bc+G8Y+LfoqPXurODqCClVdJva1AEVGVsHle57JaPqkK0VERsmujGam+g==" saltValue="bAlCa9M1VVfuLYL5xIpSlg==" spinCount="100000" sheet="1" objects="1" scenarios="1"/>
  <pageMargins left="0.75" right="0.75" top="1" bottom="1" header="0.5" footer="0.5"/>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B2:V66"/>
  <sheetViews>
    <sheetView workbookViewId="0">
      <selection activeCell="B2" sqref="B2"/>
    </sheetView>
  </sheetViews>
  <sheetFormatPr defaultRowHeight="14.5" x14ac:dyDescent="0.35"/>
  <cols>
    <col min="2" max="2" width="16.54296875" bestFit="1" customWidth="1"/>
  </cols>
  <sheetData>
    <row r="2" spans="2:22" x14ac:dyDescent="0.35">
      <c r="B2" t="s">
        <v>84</v>
      </c>
      <c r="C2" t="s">
        <v>85</v>
      </c>
      <c r="D2" t="s">
        <v>86</v>
      </c>
      <c r="E2" t="s">
        <v>87</v>
      </c>
      <c r="F2" t="s">
        <v>88</v>
      </c>
      <c r="G2" t="s">
        <v>89</v>
      </c>
      <c r="H2" t="s">
        <v>90</v>
      </c>
      <c r="I2" t="s">
        <v>91</v>
      </c>
      <c r="J2" t="s">
        <v>92</v>
      </c>
      <c r="K2" t="s">
        <v>93</v>
      </c>
      <c r="L2" t="s">
        <v>94</v>
      </c>
      <c r="M2" t="s">
        <v>95</v>
      </c>
      <c r="N2" t="s">
        <v>96</v>
      </c>
      <c r="O2" t="s">
        <v>97</v>
      </c>
      <c r="P2" t="s">
        <v>98</v>
      </c>
      <c r="Q2" t="s">
        <v>99</v>
      </c>
      <c r="R2" t="s">
        <v>100</v>
      </c>
      <c r="S2" t="s">
        <v>101</v>
      </c>
      <c r="T2" t="s">
        <v>102</v>
      </c>
      <c r="U2" t="s">
        <v>103</v>
      </c>
      <c r="V2" t="s">
        <v>104</v>
      </c>
    </row>
    <row r="3" spans="2:22" x14ac:dyDescent="0.35">
      <c r="B3" t="s">
        <v>105</v>
      </c>
      <c r="J3" s="1">
        <v>6.1999999999999998E-3</v>
      </c>
      <c r="K3" s="1">
        <v>6.8999999999999999E-3</v>
      </c>
      <c r="L3" s="1">
        <v>7.6E-3</v>
      </c>
      <c r="M3" s="1">
        <v>8.5000000000000006E-3</v>
      </c>
      <c r="N3" s="1">
        <v>9.5999999999999992E-3</v>
      </c>
      <c r="O3" s="1">
        <v>1.09E-2</v>
      </c>
      <c r="P3" s="1">
        <v>1.23E-2</v>
      </c>
      <c r="Q3" s="1">
        <v>1.41E-2</v>
      </c>
      <c r="R3" s="1">
        <v>1.6199999999999999E-2</v>
      </c>
      <c r="S3" s="1">
        <v>1.8800000000000001E-2</v>
      </c>
      <c r="T3" s="1">
        <v>2.1899999999999999E-2</v>
      </c>
      <c r="U3" s="1">
        <v>2.5700000000000001E-2</v>
      </c>
      <c r="V3" s="1">
        <v>3.0499999999999999E-2</v>
      </c>
    </row>
    <row r="4" spans="2:22" x14ac:dyDescent="0.35">
      <c r="B4">
        <v>1953</v>
      </c>
      <c r="J4" s="1">
        <v>6.1999999999999998E-3</v>
      </c>
      <c r="K4" s="1">
        <v>6.7999999999999996E-3</v>
      </c>
      <c r="L4" s="1">
        <v>7.6E-3</v>
      </c>
      <c r="M4" s="1">
        <v>8.5000000000000006E-3</v>
      </c>
      <c r="N4" s="1">
        <v>9.5999999999999992E-3</v>
      </c>
      <c r="O4" s="1">
        <v>1.0800000000000001E-2</v>
      </c>
      <c r="P4" s="1">
        <v>1.23E-2</v>
      </c>
      <c r="Q4" s="1">
        <v>1.4E-2</v>
      </c>
      <c r="R4" s="1">
        <v>1.61E-2</v>
      </c>
      <c r="S4" s="1">
        <v>1.8700000000000001E-2</v>
      </c>
      <c r="T4" s="1">
        <v>2.18E-2</v>
      </c>
      <c r="U4" s="1">
        <v>2.5600000000000001E-2</v>
      </c>
      <c r="V4" s="1">
        <v>3.0300000000000001E-2</v>
      </c>
    </row>
    <row r="5" spans="2:22" x14ac:dyDescent="0.35">
      <c r="B5">
        <v>1954</v>
      </c>
      <c r="J5" s="1">
        <v>6.1000000000000004E-3</v>
      </c>
      <c r="K5" s="1">
        <v>6.7999999999999996E-3</v>
      </c>
      <c r="L5" s="1">
        <v>7.6E-3</v>
      </c>
      <c r="M5" s="1">
        <v>8.5000000000000006E-3</v>
      </c>
      <c r="N5" s="1">
        <v>9.4999999999999998E-3</v>
      </c>
      <c r="O5" s="1">
        <v>1.0800000000000001E-2</v>
      </c>
      <c r="P5" s="1">
        <v>1.2200000000000001E-2</v>
      </c>
      <c r="Q5" s="1">
        <v>1.4E-2</v>
      </c>
      <c r="R5" s="1">
        <v>1.6E-2</v>
      </c>
      <c r="S5" s="1">
        <v>1.8499999999999999E-2</v>
      </c>
      <c r="T5" s="1">
        <v>2.1600000000000001E-2</v>
      </c>
      <c r="U5" s="1">
        <v>2.5399999999999999E-2</v>
      </c>
      <c r="V5" s="1">
        <v>3.0099999999999998E-2</v>
      </c>
    </row>
    <row r="6" spans="2:22" x14ac:dyDescent="0.35">
      <c r="B6">
        <v>1955</v>
      </c>
      <c r="J6" s="1">
        <v>6.1000000000000004E-3</v>
      </c>
      <c r="K6" s="1">
        <v>6.7999999999999996E-3</v>
      </c>
      <c r="L6" s="1">
        <v>7.6E-3</v>
      </c>
      <c r="M6" s="1">
        <v>8.3999999999999995E-3</v>
      </c>
      <c r="N6" s="1">
        <v>9.4999999999999998E-3</v>
      </c>
      <c r="O6" s="1">
        <v>1.0699999999999999E-2</v>
      </c>
      <c r="P6" s="1">
        <v>1.2200000000000001E-2</v>
      </c>
      <c r="Q6" s="1">
        <v>1.3899999999999999E-2</v>
      </c>
      <c r="R6" s="1">
        <v>1.5900000000000001E-2</v>
      </c>
      <c r="S6" s="1">
        <v>1.84E-2</v>
      </c>
      <c r="T6" s="1">
        <v>2.1499999999999998E-2</v>
      </c>
      <c r="U6" s="1">
        <v>2.52E-2</v>
      </c>
      <c r="V6" s="1">
        <v>2.9899999999999999E-2</v>
      </c>
    </row>
    <row r="7" spans="2:22" x14ac:dyDescent="0.35">
      <c r="B7">
        <v>1956</v>
      </c>
      <c r="I7" s="1">
        <v>5.7000000000000002E-3</v>
      </c>
      <c r="J7" s="1">
        <v>6.1000000000000004E-3</v>
      </c>
      <c r="K7" s="1">
        <v>6.7999999999999996E-3</v>
      </c>
      <c r="L7" s="1">
        <v>7.4999999999999997E-3</v>
      </c>
      <c r="M7" s="1">
        <v>8.3999999999999995E-3</v>
      </c>
      <c r="N7" s="1">
        <v>9.4999999999999998E-3</v>
      </c>
      <c r="O7" s="1">
        <v>1.0699999999999999E-2</v>
      </c>
      <c r="P7" s="1">
        <v>1.21E-2</v>
      </c>
      <c r="Q7" s="1">
        <v>1.38E-2</v>
      </c>
      <c r="R7" s="1">
        <v>1.5900000000000001E-2</v>
      </c>
      <c r="S7" s="1">
        <v>1.83E-2</v>
      </c>
      <c r="T7" s="1">
        <v>2.1399999999999999E-2</v>
      </c>
      <c r="U7" s="1">
        <v>2.5100000000000001E-2</v>
      </c>
      <c r="V7" s="1">
        <v>2.9700000000000001E-2</v>
      </c>
    </row>
    <row r="8" spans="2:22" x14ac:dyDescent="0.35">
      <c r="B8">
        <v>1957</v>
      </c>
      <c r="H8" s="1">
        <v>5.1000000000000004E-3</v>
      </c>
      <c r="I8" s="1">
        <v>5.7000000000000002E-3</v>
      </c>
      <c r="J8" s="1">
        <v>6.1000000000000004E-3</v>
      </c>
      <c r="K8" s="1">
        <v>6.7000000000000002E-3</v>
      </c>
      <c r="L8" s="1">
        <v>7.4999999999999997E-3</v>
      </c>
      <c r="M8" s="1">
        <v>8.3999999999999995E-3</v>
      </c>
      <c r="N8" s="1">
        <v>9.4000000000000004E-3</v>
      </c>
      <c r="O8" s="1">
        <v>1.06E-2</v>
      </c>
      <c r="P8" s="1">
        <v>1.2E-2</v>
      </c>
      <c r="Q8" s="1">
        <v>1.37E-2</v>
      </c>
      <c r="R8" s="1">
        <v>1.5800000000000002E-2</v>
      </c>
      <c r="S8" s="1">
        <v>1.8200000000000001E-2</v>
      </c>
      <c r="T8" s="1">
        <v>2.12E-2</v>
      </c>
      <c r="U8" s="1">
        <v>2.4899999999999999E-2</v>
      </c>
      <c r="V8" s="1">
        <v>2.9499999999999998E-2</v>
      </c>
    </row>
    <row r="9" spans="2:22" x14ac:dyDescent="0.35">
      <c r="B9">
        <v>1958</v>
      </c>
      <c r="G9" s="1">
        <v>4.5999999999999999E-3</v>
      </c>
      <c r="H9" s="1">
        <v>5.1000000000000004E-3</v>
      </c>
      <c r="I9" s="1">
        <v>5.7000000000000002E-3</v>
      </c>
      <c r="J9" s="1">
        <v>6.1000000000000004E-3</v>
      </c>
      <c r="K9" s="1">
        <v>6.7000000000000002E-3</v>
      </c>
      <c r="L9" s="1">
        <v>7.4999999999999997E-3</v>
      </c>
      <c r="M9" s="1">
        <v>8.3999999999999995E-3</v>
      </c>
      <c r="N9" s="1">
        <v>9.4000000000000004E-3</v>
      </c>
      <c r="O9" s="1">
        <v>1.06E-2</v>
      </c>
      <c r="P9" s="1">
        <v>1.2E-2</v>
      </c>
      <c r="Q9" s="1">
        <v>1.37E-2</v>
      </c>
      <c r="R9" s="1">
        <v>1.5699999999999999E-2</v>
      </c>
      <c r="S9" s="1">
        <v>1.8100000000000002E-2</v>
      </c>
      <c r="T9" s="1">
        <v>2.1100000000000001E-2</v>
      </c>
      <c r="U9" s="1">
        <v>2.47E-2</v>
      </c>
      <c r="V9" s="1">
        <v>2.93E-2</v>
      </c>
    </row>
    <row r="10" spans="2:22" x14ac:dyDescent="0.35">
      <c r="B10">
        <v>1959</v>
      </c>
      <c r="F10" s="1">
        <v>4.1999999999999997E-3</v>
      </c>
      <c r="G10" s="1">
        <v>4.5999999999999999E-3</v>
      </c>
      <c r="H10" s="1">
        <v>5.1000000000000004E-3</v>
      </c>
      <c r="I10" s="1">
        <v>5.7000000000000002E-3</v>
      </c>
      <c r="J10" s="1">
        <v>6.0000000000000001E-3</v>
      </c>
      <c r="K10" s="1">
        <v>6.7000000000000002E-3</v>
      </c>
      <c r="L10" s="1">
        <v>7.4999999999999997E-3</v>
      </c>
      <c r="M10" s="1">
        <v>8.3000000000000001E-3</v>
      </c>
      <c r="N10" s="1">
        <v>9.2999999999999992E-3</v>
      </c>
      <c r="O10" s="1">
        <v>1.0500000000000001E-2</v>
      </c>
      <c r="P10" s="1">
        <v>1.1900000000000001E-2</v>
      </c>
      <c r="Q10" s="1">
        <v>1.3599999999999999E-2</v>
      </c>
      <c r="R10" s="1">
        <v>1.5599999999999999E-2</v>
      </c>
      <c r="S10" s="1">
        <v>1.7999999999999999E-2</v>
      </c>
      <c r="T10" s="1">
        <v>2.1000000000000001E-2</v>
      </c>
      <c r="U10" s="1">
        <v>2.46E-2</v>
      </c>
      <c r="V10" s="1">
        <v>2.9100000000000001E-2</v>
      </c>
    </row>
    <row r="11" spans="2:22" x14ac:dyDescent="0.35">
      <c r="B11">
        <v>1960</v>
      </c>
      <c r="E11" s="1">
        <v>3.8E-3</v>
      </c>
      <c r="F11" s="1">
        <v>4.1999999999999997E-3</v>
      </c>
      <c r="G11" s="1">
        <v>4.5999999999999999E-3</v>
      </c>
      <c r="H11" s="1">
        <v>5.1000000000000004E-3</v>
      </c>
      <c r="I11" s="1">
        <v>5.7000000000000002E-3</v>
      </c>
      <c r="J11" s="1">
        <v>6.0000000000000001E-3</v>
      </c>
      <c r="K11" s="1">
        <v>6.7000000000000002E-3</v>
      </c>
      <c r="L11" s="1">
        <v>7.4000000000000003E-3</v>
      </c>
      <c r="M11" s="1">
        <v>8.3000000000000001E-3</v>
      </c>
      <c r="N11" s="1">
        <v>9.2999999999999992E-3</v>
      </c>
      <c r="O11" s="1">
        <v>1.0500000000000001E-2</v>
      </c>
      <c r="P11" s="1">
        <v>1.1900000000000001E-2</v>
      </c>
      <c r="Q11" s="1">
        <v>1.35E-2</v>
      </c>
      <c r="R11" s="1">
        <v>1.55E-2</v>
      </c>
      <c r="S11" s="1">
        <v>1.7899999999999999E-2</v>
      </c>
      <c r="T11" s="1">
        <v>2.0799999999999999E-2</v>
      </c>
      <c r="U11" s="1">
        <v>2.4400000000000002E-2</v>
      </c>
      <c r="V11" s="1">
        <v>2.8899999999999999E-2</v>
      </c>
    </row>
    <row r="12" spans="2:22" x14ac:dyDescent="0.35">
      <c r="B12">
        <v>1961</v>
      </c>
      <c r="D12" s="1">
        <v>3.5000000000000001E-3</v>
      </c>
      <c r="E12" s="1">
        <v>3.8E-3</v>
      </c>
      <c r="F12" s="1">
        <v>4.1999999999999997E-3</v>
      </c>
      <c r="G12" s="1">
        <v>4.5999999999999999E-3</v>
      </c>
      <c r="H12" s="1">
        <v>5.1000000000000004E-3</v>
      </c>
      <c r="I12" s="1">
        <v>5.5999999999999999E-3</v>
      </c>
      <c r="J12" s="1">
        <v>6.0000000000000001E-3</v>
      </c>
      <c r="K12" s="1">
        <v>6.7000000000000002E-3</v>
      </c>
      <c r="L12" s="1">
        <v>7.4000000000000003E-3</v>
      </c>
      <c r="M12" s="1">
        <v>8.3000000000000001E-3</v>
      </c>
      <c r="N12" s="1">
        <v>9.2999999999999992E-3</v>
      </c>
      <c r="O12" s="1">
        <v>1.04E-2</v>
      </c>
      <c r="P12" s="1">
        <v>1.18E-2</v>
      </c>
      <c r="Q12" s="1">
        <v>1.35E-2</v>
      </c>
      <c r="R12" s="1">
        <v>1.55E-2</v>
      </c>
      <c r="S12" s="1">
        <v>1.78E-2</v>
      </c>
      <c r="T12" s="1">
        <v>2.07E-2</v>
      </c>
      <c r="U12" s="1">
        <v>2.4299999999999999E-2</v>
      </c>
      <c r="V12" s="1">
        <v>2.87E-2</v>
      </c>
    </row>
    <row r="13" spans="2:22" x14ac:dyDescent="0.35">
      <c r="B13">
        <v>1962</v>
      </c>
      <c r="C13" s="1">
        <v>3.2000000000000002E-3</v>
      </c>
      <c r="D13" s="1">
        <v>3.3999999999999998E-3</v>
      </c>
      <c r="E13" s="1">
        <v>3.8E-3</v>
      </c>
      <c r="F13" s="1">
        <v>4.1000000000000003E-3</v>
      </c>
      <c r="G13" s="1">
        <v>4.5999999999999999E-3</v>
      </c>
      <c r="H13" s="1">
        <v>5.1000000000000004E-3</v>
      </c>
      <c r="I13" s="1">
        <v>5.5999999999999999E-3</v>
      </c>
      <c r="J13" s="1">
        <v>6.0000000000000001E-3</v>
      </c>
      <c r="K13" s="1">
        <v>6.6E-3</v>
      </c>
      <c r="L13" s="1">
        <v>7.4000000000000003E-3</v>
      </c>
      <c r="M13" s="1">
        <v>8.2000000000000007E-3</v>
      </c>
      <c r="N13" s="1">
        <v>9.1999999999999998E-3</v>
      </c>
      <c r="O13" s="1">
        <v>1.04E-2</v>
      </c>
      <c r="P13" s="1">
        <v>1.18E-2</v>
      </c>
      <c r="Q13" s="1">
        <v>1.34E-2</v>
      </c>
      <c r="R13" s="1">
        <v>1.54E-2</v>
      </c>
      <c r="S13" s="1">
        <v>1.77E-2</v>
      </c>
      <c r="T13" s="1">
        <v>2.06E-2</v>
      </c>
      <c r="U13" s="1">
        <v>2.41E-2</v>
      </c>
      <c r="V13" s="1">
        <v>2.8500000000000001E-2</v>
      </c>
    </row>
    <row r="14" spans="2:22" x14ac:dyDescent="0.35">
      <c r="B14">
        <v>1963</v>
      </c>
      <c r="C14" s="1">
        <v>3.2000000000000002E-3</v>
      </c>
      <c r="D14" s="1">
        <v>3.3999999999999998E-3</v>
      </c>
      <c r="E14" s="1">
        <v>3.8E-3</v>
      </c>
      <c r="F14" s="1">
        <v>4.1000000000000003E-3</v>
      </c>
      <c r="G14" s="1">
        <v>4.5999999999999999E-3</v>
      </c>
      <c r="H14" s="1">
        <v>5.0000000000000001E-3</v>
      </c>
      <c r="I14" s="1">
        <v>5.5999999999999999E-3</v>
      </c>
      <c r="J14" s="1">
        <v>6.0000000000000001E-3</v>
      </c>
      <c r="K14" s="1">
        <v>6.6E-3</v>
      </c>
      <c r="L14" s="1">
        <v>7.4000000000000003E-3</v>
      </c>
      <c r="M14" s="1">
        <v>8.2000000000000007E-3</v>
      </c>
      <c r="N14" s="1">
        <v>9.1999999999999998E-3</v>
      </c>
      <c r="O14" s="1">
        <v>1.04E-2</v>
      </c>
      <c r="P14" s="1">
        <v>1.17E-2</v>
      </c>
      <c r="Q14" s="1">
        <v>1.34E-2</v>
      </c>
      <c r="R14" s="1">
        <v>1.5299999999999999E-2</v>
      </c>
      <c r="S14" s="1">
        <v>1.7600000000000001E-2</v>
      </c>
      <c r="T14" s="1">
        <v>2.0500000000000001E-2</v>
      </c>
      <c r="U14" s="1">
        <v>2.4E-2</v>
      </c>
      <c r="V14" s="1">
        <v>2.8299999999999999E-2</v>
      </c>
    </row>
    <row r="15" spans="2:22" x14ac:dyDescent="0.35">
      <c r="B15">
        <v>1964</v>
      </c>
      <c r="C15" s="1">
        <v>3.2000000000000002E-3</v>
      </c>
      <c r="D15" s="1">
        <v>3.3999999999999998E-3</v>
      </c>
      <c r="E15" s="1">
        <v>3.8E-3</v>
      </c>
      <c r="F15" s="1">
        <v>4.1000000000000003E-3</v>
      </c>
      <c r="G15" s="1">
        <v>4.4999999999999997E-3</v>
      </c>
      <c r="H15" s="1">
        <v>5.0000000000000001E-3</v>
      </c>
      <c r="I15" s="1">
        <v>5.5999999999999999E-3</v>
      </c>
      <c r="J15" s="1">
        <v>6.0000000000000001E-3</v>
      </c>
      <c r="K15" s="1">
        <v>6.6E-3</v>
      </c>
      <c r="L15" s="1">
        <v>7.3000000000000001E-3</v>
      </c>
      <c r="M15" s="1">
        <v>8.2000000000000007E-3</v>
      </c>
      <c r="N15" s="1">
        <v>9.1999999999999998E-3</v>
      </c>
      <c r="O15" s="1">
        <v>1.03E-2</v>
      </c>
      <c r="P15" s="1">
        <v>1.17E-2</v>
      </c>
      <c r="Q15" s="1">
        <v>1.3299999999999999E-2</v>
      </c>
      <c r="R15" s="1">
        <v>1.52E-2</v>
      </c>
      <c r="S15" s="1">
        <v>1.7600000000000001E-2</v>
      </c>
      <c r="T15" s="1">
        <v>2.0400000000000001E-2</v>
      </c>
      <c r="U15" s="1">
        <v>2.3900000000000001E-2</v>
      </c>
      <c r="V15" s="1">
        <v>2.8199999999999999E-2</v>
      </c>
    </row>
    <row r="16" spans="2:22" x14ac:dyDescent="0.35">
      <c r="B16">
        <v>1965</v>
      </c>
      <c r="C16" s="1">
        <v>3.0999999999999999E-3</v>
      </c>
      <c r="D16" s="1">
        <v>3.3999999999999998E-3</v>
      </c>
      <c r="E16" s="1">
        <v>3.8E-3</v>
      </c>
      <c r="F16" s="1">
        <v>4.1000000000000003E-3</v>
      </c>
      <c r="G16" s="1">
        <v>4.4999999999999997E-3</v>
      </c>
      <c r="H16" s="1">
        <v>5.0000000000000001E-3</v>
      </c>
      <c r="I16" s="1">
        <v>5.5999999999999999E-3</v>
      </c>
      <c r="J16" s="1">
        <v>6.0000000000000001E-3</v>
      </c>
      <c r="K16" s="1">
        <v>6.6E-3</v>
      </c>
      <c r="L16" s="1">
        <v>7.3000000000000001E-3</v>
      </c>
      <c r="M16" s="1">
        <v>8.2000000000000007E-3</v>
      </c>
      <c r="N16" s="1">
        <v>9.1000000000000004E-3</v>
      </c>
      <c r="O16" s="1">
        <v>1.03E-2</v>
      </c>
      <c r="P16" s="1">
        <v>1.1599999999999999E-2</v>
      </c>
      <c r="Q16" s="1">
        <v>1.32E-2</v>
      </c>
      <c r="R16" s="1">
        <v>1.52E-2</v>
      </c>
      <c r="S16" s="1">
        <v>1.7500000000000002E-2</v>
      </c>
      <c r="T16" s="1">
        <v>2.0299999999999999E-2</v>
      </c>
      <c r="U16" s="1">
        <v>2.3699999999999999E-2</v>
      </c>
      <c r="V16" s="1">
        <v>2.8000000000000001E-2</v>
      </c>
    </row>
    <row r="17" spans="2:22" x14ac:dyDescent="0.35">
      <c r="B17">
        <v>1966</v>
      </c>
      <c r="C17" s="1">
        <v>3.0999999999999999E-3</v>
      </c>
      <c r="D17" s="1">
        <v>3.3999999999999998E-3</v>
      </c>
      <c r="E17" s="1">
        <v>3.7000000000000002E-3</v>
      </c>
      <c r="F17" s="1">
        <v>4.1000000000000003E-3</v>
      </c>
      <c r="G17" s="1">
        <v>4.4999999999999997E-3</v>
      </c>
      <c r="H17" s="1">
        <v>5.0000000000000001E-3</v>
      </c>
      <c r="I17" s="1">
        <v>5.5999999999999999E-3</v>
      </c>
      <c r="J17" s="1">
        <v>5.8999999999999999E-3</v>
      </c>
      <c r="K17" s="1">
        <v>6.6E-3</v>
      </c>
      <c r="L17" s="1">
        <v>7.3000000000000001E-3</v>
      </c>
      <c r="M17" s="1">
        <v>8.0999999999999996E-3</v>
      </c>
      <c r="N17" s="1">
        <v>9.1000000000000004E-3</v>
      </c>
      <c r="O17" s="1">
        <v>1.0200000000000001E-2</v>
      </c>
      <c r="P17" s="1">
        <v>1.1599999999999999E-2</v>
      </c>
      <c r="Q17" s="1">
        <v>1.32E-2</v>
      </c>
      <c r="R17" s="1">
        <v>1.5100000000000001E-2</v>
      </c>
      <c r="S17" s="1">
        <v>1.7399999999999999E-2</v>
      </c>
      <c r="T17" s="1">
        <v>2.0199999999999999E-2</v>
      </c>
      <c r="U17" s="1">
        <v>2.3599999999999999E-2</v>
      </c>
      <c r="V17" s="1">
        <v>2.7799999999999998E-2</v>
      </c>
    </row>
    <row r="18" spans="2:22" x14ac:dyDescent="0.35">
      <c r="B18">
        <v>1967</v>
      </c>
      <c r="C18" s="1">
        <v>3.0999999999999999E-3</v>
      </c>
      <c r="D18" s="1">
        <v>3.3999999999999998E-3</v>
      </c>
      <c r="E18" s="1">
        <v>3.7000000000000002E-3</v>
      </c>
      <c r="F18" s="1">
        <v>4.1000000000000003E-3</v>
      </c>
      <c r="G18" s="1">
        <v>4.4999999999999997E-3</v>
      </c>
      <c r="H18" s="1">
        <v>5.0000000000000001E-3</v>
      </c>
      <c r="I18" s="1">
        <v>5.5999999999999999E-3</v>
      </c>
      <c r="J18" s="1">
        <v>5.8999999999999999E-3</v>
      </c>
      <c r="K18" s="1">
        <v>6.6E-3</v>
      </c>
      <c r="L18" s="1">
        <v>7.3000000000000001E-3</v>
      </c>
      <c r="M18" s="1">
        <v>8.0999999999999996E-3</v>
      </c>
      <c r="N18" s="1">
        <v>9.1000000000000004E-3</v>
      </c>
      <c r="O18" s="1">
        <v>1.0200000000000001E-2</v>
      </c>
      <c r="P18" s="1">
        <v>1.15E-2</v>
      </c>
      <c r="Q18" s="1">
        <v>1.3100000000000001E-2</v>
      </c>
      <c r="R18" s="1">
        <v>1.4999999999999999E-2</v>
      </c>
      <c r="S18" s="1">
        <v>1.7299999999999999E-2</v>
      </c>
      <c r="T18" s="1">
        <v>2.01E-2</v>
      </c>
      <c r="U18" s="1">
        <v>2.35E-2</v>
      </c>
      <c r="V18" s="1">
        <v>2.7699999999999999E-2</v>
      </c>
    </row>
    <row r="19" spans="2:22" x14ac:dyDescent="0.35">
      <c r="B19">
        <v>1968</v>
      </c>
      <c r="C19" s="1">
        <v>3.0999999999999999E-3</v>
      </c>
      <c r="D19" s="1">
        <v>3.3999999999999998E-3</v>
      </c>
      <c r="E19" s="1">
        <v>3.7000000000000002E-3</v>
      </c>
      <c r="F19" s="1">
        <v>4.1000000000000003E-3</v>
      </c>
      <c r="G19" s="1">
        <v>4.4999999999999997E-3</v>
      </c>
      <c r="H19" s="1">
        <v>5.0000000000000001E-3</v>
      </c>
      <c r="I19" s="1">
        <v>5.4999999999999997E-3</v>
      </c>
      <c r="J19" s="1">
        <v>5.8999999999999999E-3</v>
      </c>
      <c r="K19" s="1">
        <v>6.4999999999999997E-3</v>
      </c>
      <c r="L19" s="1">
        <v>7.3000000000000001E-3</v>
      </c>
      <c r="M19" s="1">
        <v>8.0999999999999996E-3</v>
      </c>
      <c r="N19" s="1">
        <v>8.9999999999999993E-3</v>
      </c>
      <c r="O19" s="1">
        <v>1.0200000000000001E-2</v>
      </c>
      <c r="P19" s="1">
        <v>1.15E-2</v>
      </c>
      <c r="Q19" s="1">
        <v>1.3100000000000001E-2</v>
      </c>
      <c r="R19" s="1">
        <v>1.4999999999999999E-2</v>
      </c>
      <c r="S19" s="1">
        <v>1.72E-2</v>
      </c>
      <c r="T19" s="1">
        <v>0.02</v>
      </c>
      <c r="U19" s="1">
        <v>2.3300000000000001E-2</v>
      </c>
      <c r="V19" s="1">
        <v>2.75E-2</v>
      </c>
    </row>
    <row r="20" spans="2:22" x14ac:dyDescent="0.35">
      <c r="B20">
        <v>1969</v>
      </c>
      <c r="C20" s="1">
        <v>3.0999999999999999E-3</v>
      </c>
      <c r="D20" s="1">
        <v>3.3999999999999998E-3</v>
      </c>
      <c r="E20" s="1">
        <v>3.7000000000000002E-3</v>
      </c>
      <c r="F20" s="1">
        <v>4.1000000000000003E-3</v>
      </c>
      <c r="G20" s="1">
        <v>4.4999999999999997E-3</v>
      </c>
      <c r="H20" s="1">
        <v>5.0000000000000001E-3</v>
      </c>
      <c r="I20" s="1">
        <v>5.4999999999999997E-3</v>
      </c>
      <c r="J20" s="1">
        <v>5.8999999999999999E-3</v>
      </c>
      <c r="K20" s="1">
        <v>6.4999999999999997E-3</v>
      </c>
      <c r="L20" s="1">
        <v>7.1999999999999998E-3</v>
      </c>
      <c r="M20" s="1">
        <v>8.0999999999999996E-3</v>
      </c>
      <c r="N20" s="1">
        <v>8.9999999999999993E-3</v>
      </c>
      <c r="O20" s="1">
        <v>1.01E-2</v>
      </c>
      <c r="P20" s="1">
        <v>1.15E-2</v>
      </c>
      <c r="Q20" s="1">
        <v>1.2999999999999999E-2</v>
      </c>
      <c r="R20" s="1">
        <v>1.49E-2</v>
      </c>
      <c r="S20" s="1">
        <v>1.7100000000000001E-2</v>
      </c>
      <c r="T20" s="1">
        <v>1.9900000000000001E-2</v>
      </c>
      <c r="U20" s="1">
        <v>2.3199999999999998E-2</v>
      </c>
      <c r="V20" s="1">
        <v>2.7400000000000001E-2</v>
      </c>
    </row>
    <row r="21" spans="2:22" x14ac:dyDescent="0.35">
      <c r="B21">
        <v>1970</v>
      </c>
      <c r="C21" s="1">
        <v>3.0999999999999999E-3</v>
      </c>
      <c r="D21" s="1">
        <v>3.3999999999999998E-3</v>
      </c>
      <c r="E21" s="1">
        <v>3.7000000000000002E-3</v>
      </c>
      <c r="F21" s="1">
        <v>4.1000000000000003E-3</v>
      </c>
      <c r="G21" s="1">
        <v>4.4999999999999997E-3</v>
      </c>
      <c r="H21" s="1">
        <v>5.0000000000000001E-3</v>
      </c>
      <c r="I21" s="1">
        <v>5.4999999999999997E-3</v>
      </c>
      <c r="J21" s="1">
        <v>5.8999999999999999E-3</v>
      </c>
      <c r="K21" s="1">
        <v>6.4999999999999997E-3</v>
      </c>
      <c r="L21" s="1">
        <v>7.1999999999999998E-3</v>
      </c>
      <c r="M21" s="1">
        <v>8.0000000000000002E-3</v>
      </c>
      <c r="N21" s="1">
        <v>8.9999999999999993E-3</v>
      </c>
      <c r="O21" s="1">
        <v>1.01E-2</v>
      </c>
      <c r="P21" s="1">
        <v>1.14E-2</v>
      </c>
      <c r="Q21" s="1">
        <v>1.2999999999999999E-2</v>
      </c>
      <c r="R21" s="1">
        <v>1.4800000000000001E-2</v>
      </c>
      <c r="S21" s="1">
        <v>1.7100000000000001E-2</v>
      </c>
      <c r="T21" s="1">
        <v>1.9800000000000002E-2</v>
      </c>
      <c r="U21" s="1">
        <v>2.3099999999999999E-2</v>
      </c>
      <c r="V21" s="1">
        <v>2.7199999999999998E-2</v>
      </c>
    </row>
    <row r="22" spans="2:22" x14ac:dyDescent="0.35">
      <c r="B22">
        <v>1971</v>
      </c>
      <c r="C22" s="1">
        <v>3.0999999999999999E-3</v>
      </c>
      <c r="D22" s="1">
        <v>3.3999999999999998E-3</v>
      </c>
      <c r="E22" s="1">
        <v>3.7000000000000002E-3</v>
      </c>
      <c r="F22" s="1">
        <v>4.1000000000000003E-3</v>
      </c>
      <c r="G22" s="1">
        <v>4.4999999999999997E-3</v>
      </c>
      <c r="H22" s="1">
        <v>5.0000000000000001E-3</v>
      </c>
      <c r="I22" s="1">
        <v>5.4999999999999997E-3</v>
      </c>
      <c r="J22" s="1">
        <v>5.8999999999999999E-3</v>
      </c>
      <c r="K22" s="1">
        <v>6.4999999999999997E-3</v>
      </c>
      <c r="L22" s="1">
        <v>7.1999999999999998E-3</v>
      </c>
      <c r="M22" s="1">
        <v>8.0000000000000002E-3</v>
      </c>
      <c r="N22" s="1">
        <v>8.9999999999999993E-3</v>
      </c>
      <c r="O22" s="1">
        <v>1.01E-2</v>
      </c>
      <c r="P22" s="1">
        <v>1.14E-2</v>
      </c>
      <c r="Q22" s="1">
        <v>1.29E-2</v>
      </c>
      <c r="R22" s="1">
        <v>1.4800000000000001E-2</v>
      </c>
      <c r="S22" s="1">
        <v>1.7000000000000001E-2</v>
      </c>
      <c r="T22" s="1">
        <v>1.9699999999999999E-2</v>
      </c>
      <c r="U22" s="1">
        <v>2.3E-2</v>
      </c>
      <c r="V22" s="1">
        <v>2.7099999999999999E-2</v>
      </c>
    </row>
    <row r="23" spans="2:22" x14ac:dyDescent="0.35">
      <c r="B23">
        <v>1972</v>
      </c>
      <c r="C23" s="1">
        <v>3.0999999999999999E-3</v>
      </c>
      <c r="D23" s="1">
        <v>3.3999999999999998E-3</v>
      </c>
      <c r="E23" s="1">
        <v>3.7000000000000002E-3</v>
      </c>
      <c r="F23" s="1">
        <v>4.1000000000000003E-3</v>
      </c>
      <c r="G23" s="1">
        <v>4.4999999999999997E-3</v>
      </c>
      <c r="H23" s="1">
        <v>4.8999999999999998E-3</v>
      </c>
      <c r="I23" s="1">
        <v>5.4999999999999997E-3</v>
      </c>
      <c r="J23" s="1">
        <v>5.8999999999999999E-3</v>
      </c>
      <c r="K23" s="1">
        <v>6.4999999999999997E-3</v>
      </c>
      <c r="L23" s="1">
        <v>7.1999999999999998E-3</v>
      </c>
      <c r="M23" s="1">
        <v>8.0000000000000002E-3</v>
      </c>
      <c r="N23" s="1">
        <v>8.8999999999999999E-3</v>
      </c>
      <c r="O23" s="1">
        <v>0.01</v>
      </c>
      <c r="P23" s="1">
        <v>1.1299999999999999E-2</v>
      </c>
      <c r="Q23" s="1">
        <v>1.29E-2</v>
      </c>
      <c r="R23" s="1">
        <v>1.47E-2</v>
      </c>
      <c r="S23" s="1">
        <v>1.6899999999999998E-2</v>
      </c>
      <c r="T23" s="1">
        <v>1.9599999999999999E-2</v>
      </c>
      <c r="U23" s="1">
        <v>2.29E-2</v>
      </c>
      <c r="V23" s="1">
        <v>2.69E-2</v>
      </c>
    </row>
    <row r="24" spans="2:22" x14ac:dyDescent="0.35">
      <c r="B24">
        <v>1973</v>
      </c>
      <c r="C24" s="1">
        <v>3.0999999999999999E-3</v>
      </c>
      <c r="D24" s="1">
        <v>3.3999999999999998E-3</v>
      </c>
      <c r="E24" s="1">
        <v>3.7000000000000002E-3</v>
      </c>
      <c r="F24" s="1">
        <v>4.1000000000000003E-3</v>
      </c>
      <c r="G24" s="1">
        <v>4.4999999999999997E-3</v>
      </c>
      <c r="H24" s="1">
        <v>4.8999999999999998E-3</v>
      </c>
      <c r="I24" s="1">
        <v>5.4999999999999997E-3</v>
      </c>
      <c r="J24" s="1">
        <v>5.7999999999999996E-3</v>
      </c>
      <c r="K24" s="1">
        <v>6.4999999999999997E-3</v>
      </c>
      <c r="L24" s="1">
        <v>7.1999999999999998E-3</v>
      </c>
      <c r="M24" s="1">
        <v>8.0000000000000002E-3</v>
      </c>
      <c r="N24" s="1">
        <v>8.8999999999999999E-3</v>
      </c>
      <c r="O24" s="1">
        <v>0.01</v>
      </c>
      <c r="P24" s="1">
        <v>1.1299999999999999E-2</v>
      </c>
      <c r="Q24" s="1">
        <v>1.2800000000000001E-2</v>
      </c>
      <c r="R24" s="1">
        <v>1.46E-2</v>
      </c>
      <c r="S24" s="1">
        <v>1.6799999999999999E-2</v>
      </c>
      <c r="T24" s="1">
        <v>1.95E-2</v>
      </c>
      <c r="U24" s="1">
        <v>2.2800000000000001E-2</v>
      </c>
      <c r="V24" s="1">
        <v>2.6800000000000001E-2</v>
      </c>
    </row>
    <row r="25" spans="2:22" x14ac:dyDescent="0.35">
      <c r="B25">
        <v>1974</v>
      </c>
      <c r="C25" s="1">
        <v>3.0999999999999999E-3</v>
      </c>
      <c r="D25" s="1">
        <v>3.3999999999999998E-3</v>
      </c>
      <c r="E25" s="1">
        <v>3.7000000000000002E-3</v>
      </c>
      <c r="F25" s="1">
        <v>4.1000000000000003E-3</v>
      </c>
      <c r="G25" s="1">
        <v>4.4999999999999997E-3</v>
      </c>
      <c r="H25" s="1">
        <v>4.8999999999999998E-3</v>
      </c>
      <c r="I25" s="1">
        <v>5.4999999999999997E-3</v>
      </c>
      <c r="J25" s="1">
        <v>5.7999999999999996E-3</v>
      </c>
      <c r="K25" s="1">
        <v>6.4000000000000003E-3</v>
      </c>
      <c r="L25" s="1">
        <v>7.1000000000000004E-3</v>
      </c>
      <c r="M25" s="1">
        <v>7.9000000000000008E-3</v>
      </c>
      <c r="N25" s="1">
        <v>8.8999999999999999E-3</v>
      </c>
      <c r="O25" s="1">
        <v>0.01</v>
      </c>
      <c r="P25" s="1">
        <v>1.1299999999999999E-2</v>
      </c>
      <c r="Q25" s="1">
        <v>1.2800000000000001E-2</v>
      </c>
      <c r="R25" s="1">
        <v>1.46E-2</v>
      </c>
      <c r="S25" s="1">
        <v>1.6799999999999999E-2</v>
      </c>
      <c r="T25" s="1">
        <v>1.9400000000000001E-2</v>
      </c>
      <c r="U25" s="1">
        <v>2.2700000000000001E-2</v>
      </c>
      <c r="V25" s="1">
        <v>2.6599999999999999E-2</v>
      </c>
    </row>
    <row r="26" spans="2:22" x14ac:dyDescent="0.35">
      <c r="B26">
        <v>1975</v>
      </c>
      <c r="C26" s="1">
        <v>3.0999999999999999E-3</v>
      </c>
      <c r="D26" s="1">
        <v>3.3999999999999998E-3</v>
      </c>
      <c r="E26" s="1">
        <v>3.7000000000000002E-3</v>
      </c>
      <c r="F26" s="1">
        <v>4.0000000000000001E-3</v>
      </c>
      <c r="G26" s="1">
        <v>4.4999999999999997E-3</v>
      </c>
      <c r="H26" s="1">
        <v>4.8999999999999998E-3</v>
      </c>
      <c r="I26" s="1">
        <v>5.4999999999999997E-3</v>
      </c>
      <c r="J26" s="1">
        <v>5.7999999999999996E-3</v>
      </c>
      <c r="K26" s="1">
        <v>6.4000000000000003E-3</v>
      </c>
      <c r="L26" s="1">
        <v>7.1000000000000004E-3</v>
      </c>
      <c r="M26" s="1">
        <v>7.9000000000000008E-3</v>
      </c>
      <c r="N26" s="1">
        <v>8.8999999999999999E-3</v>
      </c>
      <c r="O26" s="1">
        <v>9.9000000000000008E-3</v>
      </c>
      <c r="P26" s="1">
        <v>1.12E-2</v>
      </c>
      <c r="Q26" s="1">
        <v>1.2699999999999999E-2</v>
      </c>
      <c r="R26" s="1">
        <v>1.4500000000000001E-2</v>
      </c>
      <c r="S26" s="1">
        <v>1.67E-2</v>
      </c>
      <c r="T26" s="1">
        <v>1.9300000000000001E-2</v>
      </c>
      <c r="U26" s="1">
        <v>2.2499999999999999E-2</v>
      </c>
      <c r="V26" s="1">
        <v>2.6499999999999999E-2</v>
      </c>
    </row>
    <row r="27" spans="2:22" x14ac:dyDescent="0.35">
      <c r="B27">
        <v>1976</v>
      </c>
      <c r="C27" s="1">
        <v>3.0999999999999999E-3</v>
      </c>
      <c r="D27" s="1">
        <v>3.3999999999999998E-3</v>
      </c>
      <c r="E27" s="1">
        <v>3.7000000000000002E-3</v>
      </c>
      <c r="F27" s="1">
        <v>4.0000000000000001E-3</v>
      </c>
      <c r="G27" s="1">
        <v>4.4000000000000003E-3</v>
      </c>
      <c r="H27" s="1">
        <v>4.8999999999999998E-3</v>
      </c>
      <c r="I27" s="1">
        <v>5.4000000000000003E-3</v>
      </c>
      <c r="J27" s="1">
        <v>5.7999999999999996E-3</v>
      </c>
      <c r="K27" s="1">
        <v>6.4000000000000003E-3</v>
      </c>
      <c r="L27" s="1">
        <v>7.1000000000000004E-3</v>
      </c>
      <c r="M27" s="1">
        <v>7.9000000000000008E-3</v>
      </c>
      <c r="N27" s="1">
        <v>8.8000000000000005E-3</v>
      </c>
      <c r="O27" s="1">
        <v>9.9000000000000008E-3</v>
      </c>
      <c r="P27" s="1">
        <v>1.12E-2</v>
      </c>
      <c r="Q27" s="1">
        <v>1.2699999999999999E-2</v>
      </c>
      <c r="R27" s="1">
        <v>1.4500000000000001E-2</v>
      </c>
      <c r="S27" s="1">
        <v>1.66E-2</v>
      </c>
      <c r="T27" s="1">
        <v>1.9199999999999998E-2</v>
      </c>
      <c r="U27" s="1">
        <v>2.24E-2</v>
      </c>
      <c r="V27" s="1">
        <v>2.64E-2</v>
      </c>
    </row>
    <row r="28" spans="2:22" x14ac:dyDescent="0.35">
      <c r="B28">
        <v>1977</v>
      </c>
      <c r="C28" s="1">
        <v>3.0999999999999999E-3</v>
      </c>
      <c r="D28" s="1">
        <v>3.3999999999999998E-3</v>
      </c>
      <c r="E28" s="1">
        <v>3.7000000000000002E-3</v>
      </c>
      <c r="F28" s="1">
        <v>4.0000000000000001E-3</v>
      </c>
      <c r="G28" s="1">
        <v>4.4000000000000003E-3</v>
      </c>
      <c r="H28" s="1">
        <v>4.8999999999999998E-3</v>
      </c>
      <c r="I28" s="1">
        <v>5.4000000000000003E-3</v>
      </c>
      <c r="J28" s="1">
        <v>5.7999999999999996E-3</v>
      </c>
      <c r="K28" s="1">
        <v>6.4000000000000003E-3</v>
      </c>
      <c r="L28" s="1">
        <v>7.1000000000000004E-3</v>
      </c>
      <c r="M28" s="1">
        <v>7.9000000000000008E-3</v>
      </c>
      <c r="N28" s="1">
        <v>8.8000000000000005E-3</v>
      </c>
      <c r="O28" s="1">
        <v>9.9000000000000008E-3</v>
      </c>
      <c r="P28" s="1">
        <v>1.11E-2</v>
      </c>
      <c r="Q28" s="1">
        <v>1.26E-2</v>
      </c>
      <c r="R28" s="1">
        <v>1.44E-2</v>
      </c>
      <c r="S28" s="1">
        <v>1.66E-2</v>
      </c>
      <c r="T28" s="1">
        <v>1.9199999999999998E-2</v>
      </c>
      <c r="U28" s="1">
        <v>2.23E-2</v>
      </c>
      <c r="V28" s="1">
        <v>2.6200000000000001E-2</v>
      </c>
    </row>
    <row r="29" spans="2:22" x14ac:dyDescent="0.35">
      <c r="B29">
        <v>1978</v>
      </c>
      <c r="C29" s="1">
        <v>3.0999999999999999E-3</v>
      </c>
      <c r="D29" s="1">
        <v>3.3999999999999998E-3</v>
      </c>
      <c r="E29" s="1">
        <v>3.7000000000000002E-3</v>
      </c>
      <c r="F29" s="1">
        <v>4.0000000000000001E-3</v>
      </c>
      <c r="G29" s="1">
        <v>4.4000000000000003E-3</v>
      </c>
      <c r="H29" s="1">
        <v>4.8999999999999998E-3</v>
      </c>
      <c r="I29" s="1">
        <v>5.4000000000000003E-3</v>
      </c>
      <c r="J29" s="1">
        <v>5.7999999999999996E-3</v>
      </c>
      <c r="K29" s="1">
        <v>6.4000000000000003E-3</v>
      </c>
      <c r="L29" s="1">
        <v>7.1000000000000004E-3</v>
      </c>
      <c r="M29" s="1">
        <v>7.9000000000000008E-3</v>
      </c>
      <c r="N29" s="1">
        <v>8.8000000000000005E-3</v>
      </c>
      <c r="O29" s="1">
        <v>9.9000000000000008E-3</v>
      </c>
      <c r="P29" s="1">
        <v>1.11E-2</v>
      </c>
      <c r="Q29" s="1">
        <v>1.26E-2</v>
      </c>
      <c r="R29" s="1">
        <v>1.44E-2</v>
      </c>
      <c r="S29" s="1">
        <v>1.6500000000000001E-2</v>
      </c>
      <c r="T29" s="1">
        <v>1.9099999999999999E-2</v>
      </c>
      <c r="U29" s="1">
        <v>2.2200000000000001E-2</v>
      </c>
      <c r="V29" s="1">
        <v>2.6100000000000002E-2</v>
      </c>
    </row>
    <row r="30" spans="2:22" x14ac:dyDescent="0.35">
      <c r="B30">
        <v>1979</v>
      </c>
      <c r="C30" s="1">
        <v>3.0999999999999999E-3</v>
      </c>
      <c r="D30" s="1">
        <v>3.3999999999999998E-3</v>
      </c>
      <c r="E30" s="1">
        <v>3.7000000000000002E-3</v>
      </c>
      <c r="F30" s="1">
        <v>4.0000000000000001E-3</v>
      </c>
      <c r="G30" s="1">
        <v>4.4000000000000003E-3</v>
      </c>
      <c r="H30" s="1">
        <v>4.8999999999999998E-3</v>
      </c>
      <c r="I30" s="1">
        <v>5.4000000000000003E-3</v>
      </c>
      <c r="J30" s="1">
        <v>5.7999999999999996E-3</v>
      </c>
      <c r="K30" s="1">
        <v>6.4000000000000003E-3</v>
      </c>
      <c r="L30" s="1">
        <v>7.1000000000000004E-3</v>
      </c>
      <c r="M30" s="1">
        <v>7.7999999999999996E-3</v>
      </c>
      <c r="N30" s="1">
        <v>8.8000000000000005E-3</v>
      </c>
      <c r="O30" s="1">
        <v>9.7999999999999997E-3</v>
      </c>
      <c r="P30" s="1">
        <v>1.11E-2</v>
      </c>
      <c r="Q30" s="1">
        <v>1.26E-2</v>
      </c>
      <c r="R30" s="1">
        <v>1.43E-2</v>
      </c>
      <c r="S30" s="1">
        <v>1.6400000000000001E-2</v>
      </c>
      <c r="T30" s="1">
        <v>1.9E-2</v>
      </c>
      <c r="U30" s="1">
        <v>2.2100000000000002E-2</v>
      </c>
      <c r="V30" s="1">
        <v>2.5999999999999999E-2</v>
      </c>
    </row>
    <row r="31" spans="2:22" x14ac:dyDescent="0.35">
      <c r="B31">
        <v>1980</v>
      </c>
      <c r="C31" s="1">
        <v>3.0999999999999999E-3</v>
      </c>
      <c r="D31" s="1">
        <v>3.3999999999999998E-3</v>
      </c>
      <c r="E31" s="1">
        <v>3.7000000000000002E-3</v>
      </c>
      <c r="F31" s="1">
        <v>4.0000000000000001E-3</v>
      </c>
      <c r="G31" s="1">
        <v>4.4000000000000003E-3</v>
      </c>
      <c r="H31" s="1">
        <v>4.8999999999999998E-3</v>
      </c>
      <c r="I31" s="1">
        <v>5.4000000000000003E-3</v>
      </c>
      <c r="J31" s="1">
        <v>5.7999999999999996E-3</v>
      </c>
      <c r="K31" s="1">
        <v>6.4000000000000003E-3</v>
      </c>
      <c r="L31" s="1">
        <v>7.0000000000000001E-3</v>
      </c>
      <c r="M31" s="1">
        <v>7.7999999999999996E-3</v>
      </c>
      <c r="N31" s="1">
        <v>8.6999999999999994E-3</v>
      </c>
      <c r="O31" s="1">
        <v>9.7999999999999997E-3</v>
      </c>
      <c r="P31" s="1">
        <v>1.0999999999999999E-2</v>
      </c>
      <c r="Q31" s="1">
        <v>1.2500000000000001E-2</v>
      </c>
      <c r="R31" s="1">
        <v>1.43E-2</v>
      </c>
      <c r="S31" s="1">
        <v>1.6400000000000001E-2</v>
      </c>
      <c r="T31" s="1">
        <v>1.89E-2</v>
      </c>
      <c r="U31" s="1">
        <v>2.1999999999999999E-2</v>
      </c>
      <c r="V31" s="1">
        <v>2.5899999999999999E-2</v>
      </c>
    </row>
    <row r="32" spans="2:22" x14ac:dyDescent="0.35">
      <c r="B32">
        <v>1981</v>
      </c>
      <c r="C32" s="1">
        <v>3.0999999999999999E-3</v>
      </c>
      <c r="D32" s="1">
        <v>3.3999999999999998E-3</v>
      </c>
      <c r="E32" s="1">
        <v>3.7000000000000002E-3</v>
      </c>
      <c r="F32" s="1">
        <v>4.0000000000000001E-3</v>
      </c>
      <c r="G32" s="1">
        <v>4.4000000000000003E-3</v>
      </c>
      <c r="H32" s="1">
        <v>4.8999999999999998E-3</v>
      </c>
      <c r="I32" s="1">
        <v>5.4000000000000003E-3</v>
      </c>
      <c r="J32" s="1">
        <v>5.7999999999999996E-3</v>
      </c>
      <c r="K32" s="1">
        <v>6.4000000000000003E-3</v>
      </c>
      <c r="L32" s="1">
        <v>7.0000000000000001E-3</v>
      </c>
      <c r="M32" s="1">
        <v>7.7999999999999996E-3</v>
      </c>
      <c r="N32" s="1">
        <v>8.6999999999999994E-3</v>
      </c>
      <c r="O32" s="1">
        <v>9.7999999999999997E-3</v>
      </c>
      <c r="P32" s="1">
        <v>1.0999999999999999E-2</v>
      </c>
      <c r="Q32" s="1">
        <v>1.2500000000000001E-2</v>
      </c>
      <c r="R32" s="1">
        <v>1.4200000000000001E-2</v>
      </c>
      <c r="S32" s="1">
        <v>1.6299999999999999E-2</v>
      </c>
      <c r="T32" s="1">
        <v>1.89E-2</v>
      </c>
      <c r="U32" s="1">
        <v>2.1899999999999999E-2</v>
      </c>
      <c r="V32" s="1">
        <v>2.58E-2</v>
      </c>
    </row>
    <row r="33" spans="2:22" x14ac:dyDescent="0.35">
      <c r="B33">
        <v>1982</v>
      </c>
      <c r="C33" s="1">
        <v>3.0999999999999999E-3</v>
      </c>
      <c r="D33" s="1">
        <v>3.3999999999999998E-3</v>
      </c>
      <c r="E33" s="1">
        <v>3.7000000000000002E-3</v>
      </c>
      <c r="F33" s="1">
        <v>4.0000000000000001E-3</v>
      </c>
      <c r="G33" s="1">
        <v>4.4000000000000003E-3</v>
      </c>
      <c r="H33" s="1">
        <v>4.8999999999999998E-3</v>
      </c>
      <c r="I33" s="1">
        <v>5.4000000000000003E-3</v>
      </c>
      <c r="J33" s="1">
        <v>5.7000000000000002E-3</v>
      </c>
      <c r="K33" s="1">
        <v>6.3E-3</v>
      </c>
      <c r="L33" s="1">
        <v>7.0000000000000001E-3</v>
      </c>
      <c r="M33" s="1">
        <v>7.7999999999999996E-3</v>
      </c>
      <c r="N33" s="1">
        <v>8.6999999999999994E-3</v>
      </c>
      <c r="O33" s="1">
        <v>9.7000000000000003E-3</v>
      </c>
      <c r="P33" s="1">
        <v>1.0999999999999999E-2</v>
      </c>
      <c r="Q33" s="1">
        <v>1.24E-2</v>
      </c>
      <c r="R33" s="1">
        <v>1.4200000000000001E-2</v>
      </c>
      <c r="S33" s="1">
        <v>1.6299999999999999E-2</v>
      </c>
      <c r="T33" s="1">
        <v>1.8800000000000001E-2</v>
      </c>
      <c r="U33" s="1">
        <v>2.18E-2</v>
      </c>
      <c r="V33" s="1">
        <v>2.5600000000000001E-2</v>
      </c>
    </row>
    <row r="34" spans="2:22" x14ac:dyDescent="0.35">
      <c r="B34">
        <v>1983</v>
      </c>
      <c r="C34" s="1">
        <v>3.0999999999999999E-3</v>
      </c>
      <c r="D34" s="1">
        <v>3.3999999999999998E-3</v>
      </c>
      <c r="E34" s="1">
        <v>3.7000000000000002E-3</v>
      </c>
      <c r="F34" s="1">
        <v>4.0000000000000001E-3</v>
      </c>
      <c r="G34" s="1">
        <v>4.4000000000000003E-3</v>
      </c>
      <c r="H34" s="1">
        <v>4.8999999999999998E-3</v>
      </c>
      <c r="I34" s="1">
        <v>5.4000000000000003E-3</v>
      </c>
      <c r="J34" s="1">
        <v>5.7000000000000002E-3</v>
      </c>
      <c r="K34" s="1">
        <v>6.3E-3</v>
      </c>
      <c r="L34" s="1">
        <v>7.0000000000000001E-3</v>
      </c>
      <c r="M34" s="1">
        <v>7.7999999999999996E-3</v>
      </c>
      <c r="N34" s="1">
        <v>8.6999999999999994E-3</v>
      </c>
      <c r="O34" s="1">
        <v>9.7000000000000003E-3</v>
      </c>
      <c r="P34" s="1">
        <v>1.0999999999999999E-2</v>
      </c>
      <c r="Q34" s="1">
        <v>1.24E-2</v>
      </c>
      <c r="R34" s="1">
        <v>1.41E-2</v>
      </c>
      <c r="S34" s="1">
        <v>1.6199999999999999E-2</v>
      </c>
      <c r="T34" s="1">
        <v>1.8700000000000001E-2</v>
      </c>
      <c r="U34" s="1">
        <v>2.18E-2</v>
      </c>
      <c r="V34" s="1">
        <v>2.5499999999999998E-2</v>
      </c>
    </row>
    <row r="35" spans="2:22" x14ac:dyDescent="0.35">
      <c r="B35">
        <v>1984</v>
      </c>
      <c r="C35" s="1">
        <v>3.0999999999999999E-3</v>
      </c>
      <c r="D35" s="1">
        <v>3.3999999999999998E-3</v>
      </c>
      <c r="E35" s="1">
        <v>3.7000000000000002E-3</v>
      </c>
      <c r="F35" s="1">
        <v>4.0000000000000001E-3</v>
      </c>
      <c r="G35" s="1">
        <v>4.4000000000000003E-3</v>
      </c>
      <c r="H35" s="1">
        <v>4.7999999999999996E-3</v>
      </c>
      <c r="I35" s="1">
        <v>5.4000000000000003E-3</v>
      </c>
      <c r="J35" s="1">
        <v>5.7000000000000002E-3</v>
      </c>
      <c r="K35" s="1">
        <v>6.3E-3</v>
      </c>
      <c r="L35" s="1">
        <v>7.0000000000000001E-3</v>
      </c>
      <c r="M35" s="1">
        <v>7.7999999999999996E-3</v>
      </c>
      <c r="N35" s="1">
        <v>8.6999999999999994E-3</v>
      </c>
      <c r="O35" s="1">
        <v>9.7000000000000003E-3</v>
      </c>
      <c r="P35" s="1">
        <v>1.09E-2</v>
      </c>
      <c r="Q35" s="1">
        <v>1.24E-2</v>
      </c>
      <c r="R35" s="1">
        <v>1.41E-2</v>
      </c>
      <c r="S35" s="1">
        <v>1.61E-2</v>
      </c>
      <c r="T35" s="1">
        <v>1.8599999999999998E-2</v>
      </c>
      <c r="U35" s="1">
        <v>2.1700000000000001E-2</v>
      </c>
      <c r="V35" s="1">
        <v>2.5399999999999999E-2</v>
      </c>
    </row>
    <row r="36" spans="2:22" x14ac:dyDescent="0.35">
      <c r="B36">
        <v>1985</v>
      </c>
      <c r="C36" s="1">
        <v>3.0999999999999999E-3</v>
      </c>
      <c r="D36" s="1">
        <v>3.3999999999999998E-3</v>
      </c>
      <c r="E36" s="1">
        <v>3.7000000000000002E-3</v>
      </c>
      <c r="F36" s="1">
        <v>4.0000000000000001E-3</v>
      </c>
      <c r="G36" s="1">
        <v>4.4000000000000003E-3</v>
      </c>
      <c r="H36" s="1">
        <v>4.7999999999999996E-3</v>
      </c>
      <c r="I36" s="1">
        <v>5.4000000000000003E-3</v>
      </c>
      <c r="J36" s="1">
        <v>5.7000000000000002E-3</v>
      </c>
      <c r="K36" s="1">
        <v>6.3E-3</v>
      </c>
      <c r="L36" s="1">
        <v>7.0000000000000001E-3</v>
      </c>
      <c r="M36" s="1">
        <v>7.7000000000000002E-3</v>
      </c>
      <c r="N36" s="1">
        <v>8.6E-3</v>
      </c>
      <c r="O36" s="1">
        <v>9.7000000000000003E-3</v>
      </c>
      <c r="P36" s="1">
        <v>1.09E-2</v>
      </c>
      <c r="Q36" s="1">
        <v>1.23E-2</v>
      </c>
      <c r="R36" s="1">
        <v>1.4E-2</v>
      </c>
      <c r="S36" s="1">
        <v>1.61E-2</v>
      </c>
      <c r="T36" s="1">
        <v>1.8599999999999998E-2</v>
      </c>
      <c r="U36" s="1">
        <v>2.1600000000000001E-2</v>
      </c>
      <c r="V36" s="1">
        <v>2.53E-2</v>
      </c>
    </row>
    <row r="37" spans="2:22" x14ac:dyDescent="0.35">
      <c r="B37">
        <v>1986</v>
      </c>
      <c r="C37" s="1">
        <v>3.0999999999999999E-3</v>
      </c>
      <c r="D37" s="1">
        <v>3.3E-3</v>
      </c>
      <c r="E37" s="1">
        <v>3.5999999999999999E-3</v>
      </c>
      <c r="F37" s="1">
        <v>4.0000000000000001E-3</v>
      </c>
      <c r="G37" s="1">
        <v>4.4000000000000003E-3</v>
      </c>
      <c r="H37" s="1">
        <v>4.7999999999999996E-3</v>
      </c>
      <c r="I37" s="1">
        <v>5.3E-3</v>
      </c>
      <c r="J37" s="1">
        <v>5.7000000000000002E-3</v>
      </c>
      <c r="K37" s="1">
        <v>6.3E-3</v>
      </c>
      <c r="L37" s="1">
        <v>7.0000000000000001E-3</v>
      </c>
      <c r="M37" s="1">
        <v>7.7000000000000002E-3</v>
      </c>
      <c r="N37" s="1">
        <v>8.6E-3</v>
      </c>
      <c r="O37" s="1">
        <v>9.5999999999999992E-3</v>
      </c>
      <c r="P37" s="1">
        <v>1.09E-2</v>
      </c>
      <c r="Q37" s="1">
        <v>1.23E-2</v>
      </c>
      <c r="R37" s="1">
        <v>1.4E-2</v>
      </c>
      <c r="S37" s="1">
        <v>1.6E-2</v>
      </c>
      <c r="T37" s="1">
        <v>1.8499999999999999E-2</v>
      </c>
      <c r="U37" s="1">
        <v>2.1499999999999998E-2</v>
      </c>
      <c r="V37" s="1">
        <v>2.52E-2</v>
      </c>
    </row>
    <row r="38" spans="2:22" x14ac:dyDescent="0.35">
      <c r="B38">
        <v>1987</v>
      </c>
      <c r="C38" s="1">
        <v>3.0999999999999999E-3</v>
      </c>
      <c r="D38" s="1">
        <v>3.3E-3</v>
      </c>
      <c r="E38" s="1">
        <v>3.5999999999999999E-3</v>
      </c>
      <c r="F38" s="1">
        <v>4.0000000000000001E-3</v>
      </c>
      <c r="G38" s="1">
        <v>4.4000000000000003E-3</v>
      </c>
      <c r="H38" s="1">
        <v>4.7999999999999996E-3</v>
      </c>
      <c r="I38" s="1">
        <v>5.3E-3</v>
      </c>
      <c r="J38" s="1">
        <v>5.7000000000000002E-3</v>
      </c>
      <c r="K38" s="1">
        <v>6.3E-3</v>
      </c>
      <c r="L38" s="1">
        <v>6.8999999999999999E-3</v>
      </c>
      <c r="M38" s="1">
        <v>7.7000000000000002E-3</v>
      </c>
      <c r="N38" s="1">
        <v>8.6E-3</v>
      </c>
      <c r="O38" s="1">
        <v>9.5999999999999992E-3</v>
      </c>
      <c r="P38" s="1">
        <v>1.0800000000000001E-2</v>
      </c>
      <c r="Q38" s="1">
        <v>1.23E-2</v>
      </c>
      <c r="R38" s="1">
        <v>1.3899999999999999E-2</v>
      </c>
      <c r="S38" s="1">
        <v>1.6E-2</v>
      </c>
      <c r="T38" s="1">
        <v>1.84E-2</v>
      </c>
      <c r="U38" s="1">
        <v>2.1399999999999999E-2</v>
      </c>
      <c r="V38" s="1">
        <v>2.5100000000000001E-2</v>
      </c>
    </row>
    <row r="39" spans="2:22" x14ac:dyDescent="0.35">
      <c r="B39">
        <v>1988</v>
      </c>
      <c r="C39" s="1">
        <v>3.0999999999999999E-3</v>
      </c>
      <c r="D39" s="1">
        <v>3.3E-3</v>
      </c>
      <c r="E39" s="1">
        <v>3.5999999999999999E-3</v>
      </c>
      <c r="F39" s="1">
        <v>4.0000000000000001E-3</v>
      </c>
      <c r="G39" s="1">
        <v>4.4000000000000003E-3</v>
      </c>
      <c r="H39" s="1">
        <v>4.7999999999999996E-3</v>
      </c>
      <c r="I39" s="1">
        <v>5.3E-3</v>
      </c>
      <c r="J39" s="1">
        <v>5.7000000000000002E-3</v>
      </c>
      <c r="K39" s="1">
        <v>6.3E-3</v>
      </c>
      <c r="L39" s="1">
        <v>6.8999999999999999E-3</v>
      </c>
      <c r="M39" s="1">
        <v>7.7000000000000002E-3</v>
      </c>
      <c r="N39" s="1">
        <v>8.6E-3</v>
      </c>
      <c r="O39" s="1">
        <v>9.5999999999999992E-3</v>
      </c>
      <c r="P39" s="1">
        <v>1.0800000000000001E-2</v>
      </c>
      <c r="Q39" s="1">
        <v>1.2200000000000001E-2</v>
      </c>
      <c r="R39" s="1">
        <v>1.3899999999999999E-2</v>
      </c>
      <c r="S39" s="1">
        <v>1.5900000000000001E-2</v>
      </c>
      <c r="T39" s="1">
        <v>1.84E-2</v>
      </c>
      <c r="U39" s="1">
        <v>2.1299999999999999E-2</v>
      </c>
      <c r="V39" s="1">
        <v>2.5000000000000001E-2</v>
      </c>
    </row>
    <row r="40" spans="2:22" x14ac:dyDescent="0.35">
      <c r="B40">
        <v>1989</v>
      </c>
      <c r="C40" s="1">
        <v>3.0999999999999999E-3</v>
      </c>
      <c r="D40" s="1">
        <v>3.3E-3</v>
      </c>
      <c r="E40" s="1">
        <v>3.5999999999999999E-3</v>
      </c>
      <c r="F40" s="1">
        <v>4.0000000000000001E-3</v>
      </c>
      <c r="G40" s="1">
        <v>4.4000000000000003E-3</v>
      </c>
      <c r="H40" s="1">
        <v>4.7999999999999996E-3</v>
      </c>
      <c r="I40" s="1">
        <v>5.3E-3</v>
      </c>
      <c r="J40" s="1">
        <v>5.7000000000000002E-3</v>
      </c>
      <c r="K40" s="1">
        <v>6.3E-3</v>
      </c>
      <c r="L40" s="1">
        <v>6.8999999999999999E-3</v>
      </c>
      <c r="M40" s="1">
        <v>7.7000000000000002E-3</v>
      </c>
      <c r="N40" s="1">
        <v>8.6E-3</v>
      </c>
      <c r="O40" s="1">
        <v>9.5999999999999992E-3</v>
      </c>
      <c r="P40" s="1">
        <v>1.0800000000000001E-2</v>
      </c>
      <c r="Q40" s="1">
        <v>1.2200000000000001E-2</v>
      </c>
      <c r="R40" s="1">
        <v>1.3899999999999999E-2</v>
      </c>
      <c r="S40" s="1">
        <v>1.5900000000000001E-2</v>
      </c>
      <c r="T40" s="1">
        <v>1.83E-2</v>
      </c>
      <c r="U40" s="1">
        <v>2.12E-2</v>
      </c>
      <c r="V40" s="1">
        <v>2.4799999999999999E-2</v>
      </c>
    </row>
    <row r="41" spans="2:22" x14ac:dyDescent="0.35">
      <c r="B41">
        <v>1990</v>
      </c>
      <c r="C41" s="1">
        <v>3.0999999999999999E-3</v>
      </c>
      <c r="D41" s="1">
        <v>3.3E-3</v>
      </c>
      <c r="E41" s="1">
        <v>3.5999999999999999E-3</v>
      </c>
      <c r="F41" s="1">
        <v>4.0000000000000001E-3</v>
      </c>
      <c r="G41" s="1">
        <v>4.4000000000000003E-3</v>
      </c>
      <c r="H41" s="1">
        <v>4.7999999999999996E-3</v>
      </c>
      <c r="I41" s="1">
        <v>5.3E-3</v>
      </c>
      <c r="J41" s="1">
        <v>5.7000000000000002E-3</v>
      </c>
      <c r="K41" s="1">
        <v>6.3E-3</v>
      </c>
      <c r="L41" s="1">
        <v>6.8999999999999999E-3</v>
      </c>
      <c r="M41" s="1">
        <v>7.7000000000000002E-3</v>
      </c>
      <c r="N41" s="1">
        <v>8.5000000000000006E-3</v>
      </c>
      <c r="O41" s="1">
        <v>9.5999999999999992E-3</v>
      </c>
      <c r="P41" s="1">
        <v>1.0699999999999999E-2</v>
      </c>
      <c r="Q41" s="1">
        <v>1.21E-2</v>
      </c>
      <c r="R41" s="1">
        <v>1.38E-2</v>
      </c>
      <c r="S41" s="1">
        <v>1.5800000000000002E-2</v>
      </c>
      <c r="T41" s="1">
        <v>1.8200000000000001E-2</v>
      </c>
      <c r="U41" s="1">
        <v>2.1100000000000001E-2</v>
      </c>
      <c r="V41" s="1">
        <v>2.47E-2</v>
      </c>
    </row>
    <row r="42" spans="2:22" x14ac:dyDescent="0.35">
      <c r="B42">
        <v>1991</v>
      </c>
      <c r="C42" s="1">
        <v>3.0999999999999999E-3</v>
      </c>
      <c r="D42" s="1">
        <v>3.3E-3</v>
      </c>
      <c r="E42" s="1">
        <v>3.5999999999999999E-3</v>
      </c>
      <c r="F42" s="1">
        <v>4.0000000000000001E-3</v>
      </c>
      <c r="G42" s="1">
        <v>4.4000000000000003E-3</v>
      </c>
      <c r="H42" s="1">
        <v>4.7999999999999996E-3</v>
      </c>
      <c r="I42" s="1">
        <v>5.3E-3</v>
      </c>
      <c r="J42" s="1">
        <v>5.7000000000000002E-3</v>
      </c>
      <c r="K42" s="1">
        <v>6.1999999999999998E-3</v>
      </c>
      <c r="L42" s="1">
        <v>6.8999999999999999E-3</v>
      </c>
      <c r="M42" s="1">
        <v>7.6E-3</v>
      </c>
      <c r="N42" s="1">
        <v>8.5000000000000006E-3</v>
      </c>
      <c r="O42" s="1">
        <v>9.4999999999999998E-3</v>
      </c>
      <c r="P42" s="1">
        <v>1.0699999999999999E-2</v>
      </c>
      <c r="Q42" s="1">
        <v>1.21E-2</v>
      </c>
      <c r="R42" s="1">
        <v>1.38E-2</v>
      </c>
      <c r="S42" s="1">
        <v>1.5800000000000002E-2</v>
      </c>
      <c r="T42" s="1">
        <v>1.8100000000000002E-2</v>
      </c>
      <c r="U42" s="1">
        <v>2.1100000000000001E-2</v>
      </c>
      <c r="V42" s="1">
        <v>2.46E-2</v>
      </c>
    </row>
    <row r="43" spans="2:22" x14ac:dyDescent="0.35">
      <c r="B43">
        <v>1992</v>
      </c>
      <c r="C43" s="1">
        <v>3.0999999999999999E-3</v>
      </c>
      <c r="D43" s="1">
        <v>3.3E-3</v>
      </c>
      <c r="E43" s="1">
        <v>3.5999999999999999E-3</v>
      </c>
      <c r="F43" s="1">
        <v>4.0000000000000001E-3</v>
      </c>
      <c r="G43" s="1">
        <v>4.4000000000000003E-3</v>
      </c>
      <c r="H43" s="1">
        <v>4.7999999999999996E-3</v>
      </c>
      <c r="I43" s="1">
        <v>5.3E-3</v>
      </c>
      <c r="J43" s="1">
        <v>5.7000000000000002E-3</v>
      </c>
      <c r="K43" s="1">
        <v>6.1999999999999998E-3</v>
      </c>
      <c r="L43" s="1">
        <v>6.8999999999999999E-3</v>
      </c>
      <c r="M43" s="1">
        <v>7.6E-3</v>
      </c>
      <c r="N43" s="1">
        <v>8.5000000000000006E-3</v>
      </c>
      <c r="O43" s="1">
        <v>9.4999999999999998E-3</v>
      </c>
      <c r="P43" s="1">
        <v>1.0699999999999999E-2</v>
      </c>
      <c r="Q43" s="1">
        <v>1.21E-2</v>
      </c>
      <c r="R43" s="1">
        <v>1.37E-2</v>
      </c>
      <c r="S43" s="1">
        <v>1.5699999999999999E-2</v>
      </c>
      <c r="T43" s="1">
        <v>1.8100000000000002E-2</v>
      </c>
      <c r="U43" s="1">
        <v>2.1000000000000001E-2</v>
      </c>
      <c r="V43" s="1">
        <v>2.4500000000000001E-2</v>
      </c>
    </row>
    <row r="44" spans="2:22" x14ac:dyDescent="0.35">
      <c r="B44">
        <v>1993</v>
      </c>
      <c r="C44" s="1">
        <v>3.0999999999999999E-3</v>
      </c>
      <c r="D44" s="1">
        <v>3.3E-3</v>
      </c>
      <c r="E44" s="1">
        <v>3.5999999999999999E-3</v>
      </c>
      <c r="F44" s="1">
        <v>4.0000000000000001E-3</v>
      </c>
      <c r="G44" s="1">
        <v>4.3E-3</v>
      </c>
      <c r="H44" s="1">
        <v>4.7999999999999996E-3</v>
      </c>
      <c r="I44" s="1">
        <v>5.3E-3</v>
      </c>
      <c r="J44" s="1">
        <v>5.7000000000000002E-3</v>
      </c>
      <c r="K44" s="1">
        <v>6.1999999999999998E-3</v>
      </c>
      <c r="L44" s="1">
        <v>6.8999999999999999E-3</v>
      </c>
      <c r="M44" s="1">
        <v>7.6E-3</v>
      </c>
      <c r="N44" s="1">
        <v>8.5000000000000006E-3</v>
      </c>
      <c r="O44" s="1">
        <v>9.4999999999999998E-3</v>
      </c>
      <c r="P44" s="1">
        <v>1.0699999999999999E-2</v>
      </c>
      <c r="Q44" s="1">
        <v>1.2E-2</v>
      </c>
      <c r="R44" s="1">
        <v>1.37E-2</v>
      </c>
      <c r="S44" s="1">
        <v>1.5699999999999999E-2</v>
      </c>
      <c r="T44" s="1">
        <v>1.7999999999999999E-2</v>
      </c>
      <c r="U44" s="1">
        <v>2.0899999999999998E-2</v>
      </c>
      <c r="V44" s="1">
        <v>2.4400000000000002E-2</v>
      </c>
    </row>
    <row r="45" spans="2:22" x14ac:dyDescent="0.35">
      <c r="B45">
        <v>1994</v>
      </c>
      <c r="C45" s="1">
        <v>3.0999999999999999E-3</v>
      </c>
      <c r="D45" s="1">
        <v>3.3E-3</v>
      </c>
      <c r="E45" s="1">
        <v>3.5999999999999999E-3</v>
      </c>
      <c r="F45" s="1">
        <v>4.0000000000000001E-3</v>
      </c>
      <c r="G45" s="1">
        <v>4.3E-3</v>
      </c>
      <c r="H45" s="1">
        <v>4.7999999999999996E-3</v>
      </c>
      <c r="I45" s="1">
        <v>5.3E-3</v>
      </c>
      <c r="J45" s="1">
        <v>5.5999999999999999E-3</v>
      </c>
      <c r="K45" s="1">
        <v>6.1999999999999998E-3</v>
      </c>
      <c r="L45" s="1">
        <v>6.8999999999999999E-3</v>
      </c>
      <c r="M45" s="1">
        <v>7.6E-3</v>
      </c>
      <c r="N45" s="1">
        <v>8.5000000000000006E-3</v>
      </c>
      <c r="O45" s="1">
        <v>9.4999999999999998E-3</v>
      </c>
      <c r="P45" s="1">
        <v>1.06E-2</v>
      </c>
      <c r="Q45" s="1">
        <v>1.2E-2</v>
      </c>
      <c r="R45" s="1">
        <v>1.3599999999999999E-2</v>
      </c>
      <c r="S45" s="1">
        <v>1.5599999999999999E-2</v>
      </c>
      <c r="T45" s="1">
        <v>1.7999999999999999E-2</v>
      </c>
      <c r="U45" s="1">
        <v>2.0799999999999999E-2</v>
      </c>
      <c r="V45" s="1">
        <v>2.4299999999999999E-2</v>
      </c>
    </row>
    <row r="46" spans="2:22" x14ac:dyDescent="0.35">
      <c r="B46">
        <v>1995</v>
      </c>
      <c r="C46" s="1">
        <v>3.0999999999999999E-3</v>
      </c>
      <c r="D46" s="1">
        <v>3.3E-3</v>
      </c>
      <c r="E46" s="1">
        <v>3.5999999999999999E-3</v>
      </c>
      <c r="F46" s="1">
        <v>4.0000000000000001E-3</v>
      </c>
      <c r="G46" s="1">
        <v>4.3E-3</v>
      </c>
      <c r="H46" s="1">
        <v>4.7999999999999996E-3</v>
      </c>
      <c r="I46" s="1">
        <v>5.3E-3</v>
      </c>
      <c r="J46" s="1">
        <v>5.5999999999999999E-3</v>
      </c>
      <c r="K46" s="1">
        <v>6.1999999999999998E-3</v>
      </c>
      <c r="L46" s="1">
        <v>6.7999999999999996E-3</v>
      </c>
      <c r="M46" s="1">
        <v>7.6E-3</v>
      </c>
      <c r="N46" s="1">
        <v>8.3999999999999995E-3</v>
      </c>
      <c r="O46" s="1">
        <v>9.4000000000000004E-3</v>
      </c>
      <c r="P46" s="1">
        <v>1.06E-2</v>
      </c>
      <c r="Q46" s="1">
        <v>1.2E-2</v>
      </c>
      <c r="R46" s="1">
        <v>1.3599999999999999E-2</v>
      </c>
      <c r="S46" s="1">
        <v>1.55E-2</v>
      </c>
      <c r="T46" s="1">
        <v>1.7899999999999999E-2</v>
      </c>
      <c r="U46" s="1">
        <v>2.07E-2</v>
      </c>
      <c r="V46" s="1">
        <v>2.4199999999999999E-2</v>
      </c>
    </row>
    <row r="47" spans="2:22" x14ac:dyDescent="0.35">
      <c r="B47">
        <v>1996</v>
      </c>
      <c r="C47" s="1">
        <v>3.0999999999999999E-3</v>
      </c>
      <c r="D47" s="1">
        <v>3.3E-3</v>
      </c>
      <c r="E47" s="1">
        <v>3.5999999999999999E-3</v>
      </c>
      <c r="F47" s="1">
        <v>4.0000000000000001E-3</v>
      </c>
      <c r="G47" s="1">
        <v>4.3E-3</v>
      </c>
      <c r="H47" s="1">
        <v>4.7999999999999996E-3</v>
      </c>
      <c r="I47" s="1">
        <v>5.3E-3</v>
      </c>
      <c r="J47" s="1">
        <v>5.5999999999999999E-3</v>
      </c>
      <c r="K47" s="1">
        <v>6.1999999999999998E-3</v>
      </c>
      <c r="L47" s="1">
        <v>6.7999999999999996E-3</v>
      </c>
      <c r="M47" s="1">
        <v>7.6E-3</v>
      </c>
      <c r="N47" s="1">
        <v>8.3999999999999995E-3</v>
      </c>
      <c r="O47" s="1">
        <v>9.4000000000000004E-3</v>
      </c>
      <c r="P47" s="1">
        <v>1.06E-2</v>
      </c>
      <c r="Q47" s="1">
        <v>1.1900000000000001E-2</v>
      </c>
      <c r="R47" s="1">
        <v>1.3599999999999999E-2</v>
      </c>
      <c r="S47" s="1">
        <v>1.55E-2</v>
      </c>
      <c r="T47" s="1">
        <v>1.78E-2</v>
      </c>
      <c r="U47" s="1">
        <v>2.07E-2</v>
      </c>
      <c r="V47" s="1">
        <v>2.41E-2</v>
      </c>
    </row>
    <row r="48" spans="2:22" x14ac:dyDescent="0.35">
      <c r="B48">
        <v>1997</v>
      </c>
      <c r="C48" s="1">
        <v>3.0999999999999999E-3</v>
      </c>
      <c r="D48" s="1">
        <v>3.3E-3</v>
      </c>
      <c r="E48" s="1">
        <v>3.5999999999999999E-3</v>
      </c>
      <c r="F48" s="1">
        <v>3.8999999999999998E-3</v>
      </c>
      <c r="G48" s="1">
        <v>4.3E-3</v>
      </c>
      <c r="H48" s="1">
        <v>4.7999999999999996E-3</v>
      </c>
      <c r="I48" s="1">
        <v>5.3E-3</v>
      </c>
      <c r="J48" s="1">
        <v>5.5999999999999999E-3</v>
      </c>
      <c r="K48" s="1">
        <v>6.1999999999999998E-3</v>
      </c>
      <c r="L48" s="1">
        <v>6.7999999999999996E-3</v>
      </c>
      <c r="M48" s="1">
        <v>7.6E-3</v>
      </c>
      <c r="N48" s="1">
        <v>8.3999999999999995E-3</v>
      </c>
      <c r="O48" s="1">
        <v>9.4000000000000004E-3</v>
      </c>
      <c r="P48" s="1">
        <v>1.06E-2</v>
      </c>
      <c r="Q48" s="1">
        <v>1.1900000000000001E-2</v>
      </c>
      <c r="R48" s="1">
        <v>1.35E-2</v>
      </c>
      <c r="S48" s="1">
        <v>1.54E-2</v>
      </c>
      <c r="T48" s="1">
        <v>1.78E-2</v>
      </c>
      <c r="U48" s="1">
        <v>2.06E-2</v>
      </c>
      <c r="V48" s="1">
        <v>2.4E-2</v>
      </c>
    </row>
    <row r="49" spans="2:22" x14ac:dyDescent="0.35">
      <c r="B49">
        <v>1998</v>
      </c>
      <c r="C49" s="1">
        <v>3.0999999999999999E-3</v>
      </c>
      <c r="D49" s="1">
        <v>3.3E-3</v>
      </c>
      <c r="E49" s="1">
        <v>3.5999999999999999E-3</v>
      </c>
      <c r="F49" s="1">
        <v>3.8999999999999998E-3</v>
      </c>
      <c r="G49" s="1">
        <v>4.3E-3</v>
      </c>
      <c r="H49" s="1">
        <v>4.7999999999999996E-3</v>
      </c>
      <c r="I49" s="1">
        <v>5.3E-3</v>
      </c>
      <c r="J49" s="1">
        <v>5.5999999999999999E-3</v>
      </c>
      <c r="K49" s="1">
        <v>6.1999999999999998E-3</v>
      </c>
      <c r="L49" s="1">
        <v>6.7999999999999996E-3</v>
      </c>
      <c r="M49" s="1">
        <v>7.4999999999999997E-3</v>
      </c>
      <c r="N49" s="1">
        <v>8.3999999999999995E-3</v>
      </c>
      <c r="O49" s="1">
        <v>9.4000000000000004E-3</v>
      </c>
      <c r="P49" s="1">
        <v>1.0500000000000001E-2</v>
      </c>
      <c r="Q49" s="1">
        <v>1.1900000000000001E-2</v>
      </c>
      <c r="R49" s="1">
        <v>1.35E-2</v>
      </c>
      <c r="S49" s="1">
        <v>1.54E-2</v>
      </c>
      <c r="T49" s="1">
        <v>1.77E-2</v>
      </c>
      <c r="U49" s="1">
        <v>2.0500000000000001E-2</v>
      </c>
      <c r="V49" s="1">
        <v>2.3900000000000001E-2</v>
      </c>
    </row>
    <row r="50" spans="2:22" x14ac:dyDescent="0.35">
      <c r="B50">
        <v>1999</v>
      </c>
      <c r="C50" s="1">
        <v>3.0999999999999999E-3</v>
      </c>
      <c r="D50" s="1">
        <v>3.3E-3</v>
      </c>
      <c r="E50" s="1">
        <v>3.5999999999999999E-3</v>
      </c>
      <c r="F50" s="1">
        <v>3.8999999999999998E-3</v>
      </c>
      <c r="G50" s="1">
        <v>4.3E-3</v>
      </c>
      <c r="H50" s="1">
        <v>4.7999999999999996E-3</v>
      </c>
      <c r="I50" s="1">
        <v>5.3E-3</v>
      </c>
      <c r="J50" s="1">
        <v>5.5999999999999999E-3</v>
      </c>
      <c r="K50" s="1">
        <v>6.1999999999999998E-3</v>
      </c>
      <c r="L50" s="1">
        <v>6.7999999999999996E-3</v>
      </c>
      <c r="M50" s="1">
        <v>7.4999999999999997E-3</v>
      </c>
      <c r="N50" s="1">
        <v>8.3999999999999995E-3</v>
      </c>
      <c r="O50" s="1">
        <v>9.4000000000000004E-3</v>
      </c>
      <c r="P50" s="1">
        <v>1.0500000000000001E-2</v>
      </c>
      <c r="Q50" s="1">
        <v>1.18E-2</v>
      </c>
      <c r="R50" s="1">
        <v>1.34E-2</v>
      </c>
      <c r="S50" s="1">
        <v>1.5299999999999999E-2</v>
      </c>
      <c r="T50" s="1">
        <v>1.7600000000000001E-2</v>
      </c>
      <c r="U50" s="1">
        <v>2.0400000000000001E-2</v>
      </c>
      <c r="V50" s="1">
        <v>2.3800000000000002E-2</v>
      </c>
    </row>
    <row r="51" spans="2:22" x14ac:dyDescent="0.35">
      <c r="B51">
        <v>2000</v>
      </c>
      <c r="C51" s="1">
        <v>3.0999999999999999E-3</v>
      </c>
      <c r="D51" s="1">
        <v>3.3E-3</v>
      </c>
      <c r="E51" s="1">
        <v>3.5999999999999999E-3</v>
      </c>
      <c r="F51" s="1">
        <v>3.8999999999999998E-3</v>
      </c>
      <c r="G51" s="1">
        <v>4.3E-3</v>
      </c>
      <c r="H51" s="1">
        <v>4.7000000000000002E-3</v>
      </c>
      <c r="I51" s="1">
        <v>5.1999999999999998E-3</v>
      </c>
      <c r="J51" s="1">
        <v>5.5999999999999999E-3</v>
      </c>
      <c r="K51" s="1">
        <v>6.1999999999999998E-3</v>
      </c>
      <c r="L51" s="1">
        <v>6.7999999999999996E-3</v>
      </c>
      <c r="M51" s="1">
        <v>7.4999999999999997E-3</v>
      </c>
      <c r="N51" s="1">
        <v>8.3999999999999995E-3</v>
      </c>
      <c r="O51" s="1">
        <v>9.2999999999999992E-3</v>
      </c>
      <c r="P51" s="1">
        <v>1.0500000000000001E-2</v>
      </c>
      <c r="Q51" s="1">
        <v>1.18E-2</v>
      </c>
      <c r="R51" s="1">
        <v>1.34E-2</v>
      </c>
      <c r="S51" s="1">
        <v>1.5299999999999999E-2</v>
      </c>
      <c r="T51" s="1">
        <v>1.7600000000000001E-2</v>
      </c>
      <c r="U51" s="1">
        <v>2.0299999999999999E-2</v>
      </c>
      <c r="V51" s="1">
        <v>2.3699999999999999E-2</v>
      </c>
    </row>
    <row r="52" spans="2:22" x14ac:dyDescent="0.35">
      <c r="B52">
        <v>2001</v>
      </c>
      <c r="C52" s="1">
        <v>3.0999999999999999E-3</v>
      </c>
      <c r="D52" s="1">
        <v>3.3E-3</v>
      </c>
      <c r="E52" s="1">
        <v>3.5999999999999999E-3</v>
      </c>
      <c r="F52" s="1">
        <v>3.8999999999999998E-3</v>
      </c>
      <c r="G52" s="1">
        <v>4.3E-3</v>
      </c>
      <c r="H52" s="1">
        <v>4.7000000000000002E-3</v>
      </c>
      <c r="I52" s="1">
        <v>5.1999999999999998E-3</v>
      </c>
      <c r="J52" s="1">
        <v>5.5999999999999999E-3</v>
      </c>
      <c r="K52" s="1">
        <v>6.1000000000000004E-3</v>
      </c>
      <c r="L52" s="1">
        <v>6.7999999999999996E-3</v>
      </c>
      <c r="M52" s="1">
        <v>7.4999999999999997E-3</v>
      </c>
      <c r="N52" s="1">
        <v>8.3000000000000001E-3</v>
      </c>
      <c r="O52" s="1">
        <v>9.2999999999999992E-3</v>
      </c>
      <c r="P52" s="1">
        <v>1.0500000000000001E-2</v>
      </c>
      <c r="Q52" s="1">
        <v>1.18E-2</v>
      </c>
      <c r="R52" s="1">
        <v>1.34E-2</v>
      </c>
      <c r="S52" s="1">
        <v>1.5299999999999999E-2</v>
      </c>
      <c r="T52" s="1">
        <v>1.7500000000000002E-2</v>
      </c>
      <c r="U52" s="1">
        <v>2.0299999999999999E-2</v>
      </c>
      <c r="V52" s="1">
        <v>2.3599999999999999E-2</v>
      </c>
    </row>
    <row r="53" spans="2:22" x14ac:dyDescent="0.35">
      <c r="B53">
        <v>2002</v>
      </c>
      <c r="C53" s="1">
        <v>3.0999999999999999E-3</v>
      </c>
      <c r="D53" s="1">
        <v>3.3E-3</v>
      </c>
      <c r="E53" s="1">
        <v>3.5999999999999999E-3</v>
      </c>
      <c r="F53" s="1">
        <v>3.8999999999999998E-3</v>
      </c>
      <c r="G53" s="1">
        <v>4.3E-3</v>
      </c>
      <c r="H53" s="1">
        <v>4.7000000000000002E-3</v>
      </c>
      <c r="I53" s="1">
        <v>5.1999999999999998E-3</v>
      </c>
      <c r="J53" s="1">
        <v>5.5999999999999999E-3</v>
      </c>
      <c r="K53" s="1">
        <v>6.1000000000000004E-3</v>
      </c>
      <c r="L53" s="1">
        <v>6.7999999999999996E-3</v>
      </c>
      <c r="M53" s="1">
        <v>7.4999999999999997E-3</v>
      </c>
      <c r="N53" s="1">
        <v>8.3000000000000001E-3</v>
      </c>
      <c r="O53" s="1">
        <v>9.2999999999999992E-3</v>
      </c>
      <c r="P53" s="1">
        <v>1.04E-2</v>
      </c>
      <c r="Q53" s="1">
        <v>1.18E-2</v>
      </c>
      <c r="R53" s="1">
        <v>1.3299999999999999E-2</v>
      </c>
      <c r="S53" s="1">
        <v>1.52E-2</v>
      </c>
      <c r="T53" s="1">
        <v>1.7500000000000002E-2</v>
      </c>
      <c r="U53" s="1">
        <v>2.0199999999999999E-2</v>
      </c>
      <c r="V53" s="1">
        <v>2.35E-2</v>
      </c>
    </row>
    <row r="54" spans="2:22" x14ac:dyDescent="0.35">
      <c r="B54">
        <v>2003</v>
      </c>
      <c r="C54" s="1">
        <v>3.0000000000000001E-3</v>
      </c>
      <c r="D54" s="1">
        <v>3.3E-3</v>
      </c>
      <c r="E54" s="1">
        <v>3.5999999999999999E-3</v>
      </c>
      <c r="F54" s="1">
        <v>3.8999999999999998E-3</v>
      </c>
      <c r="G54" s="1">
        <v>4.3E-3</v>
      </c>
      <c r="H54" s="1">
        <v>4.7000000000000002E-3</v>
      </c>
      <c r="I54" s="1">
        <v>5.1999999999999998E-3</v>
      </c>
      <c r="J54" s="1">
        <v>5.5999999999999999E-3</v>
      </c>
      <c r="K54" s="1">
        <v>6.1000000000000004E-3</v>
      </c>
      <c r="L54" s="1">
        <v>6.7999999999999996E-3</v>
      </c>
      <c r="M54" s="1">
        <v>7.4999999999999997E-3</v>
      </c>
      <c r="N54" s="1">
        <v>8.3000000000000001E-3</v>
      </c>
      <c r="O54" s="1">
        <v>9.2999999999999992E-3</v>
      </c>
      <c r="P54" s="1">
        <v>1.04E-2</v>
      </c>
      <c r="Q54" s="1">
        <v>1.17E-2</v>
      </c>
      <c r="R54" s="1">
        <v>1.3299999999999999E-2</v>
      </c>
      <c r="S54" s="1">
        <v>1.52E-2</v>
      </c>
      <c r="T54" s="1">
        <v>1.7399999999999999E-2</v>
      </c>
      <c r="U54" s="1">
        <v>2.01E-2</v>
      </c>
      <c r="V54" s="1">
        <v>2.35E-2</v>
      </c>
    </row>
    <row r="55" spans="2:22" x14ac:dyDescent="0.35">
      <c r="B55">
        <v>2004</v>
      </c>
      <c r="C55" s="1">
        <v>3.0000000000000001E-3</v>
      </c>
      <c r="D55" s="1">
        <v>3.3E-3</v>
      </c>
      <c r="E55" s="1">
        <v>3.5999999999999999E-3</v>
      </c>
      <c r="F55" s="1">
        <v>3.8999999999999998E-3</v>
      </c>
      <c r="G55" s="1">
        <v>4.3E-3</v>
      </c>
      <c r="H55" s="1">
        <v>4.7000000000000002E-3</v>
      </c>
      <c r="I55" s="1">
        <v>5.1999999999999998E-3</v>
      </c>
      <c r="J55" s="1">
        <v>5.5999999999999999E-3</v>
      </c>
      <c r="K55" s="1">
        <v>6.1000000000000004E-3</v>
      </c>
      <c r="L55" s="1">
        <v>6.7000000000000002E-3</v>
      </c>
      <c r="M55" s="1">
        <v>7.4999999999999997E-3</v>
      </c>
      <c r="N55" s="1">
        <v>8.3000000000000001E-3</v>
      </c>
      <c r="O55" s="1">
        <v>9.2999999999999992E-3</v>
      </c>
      <c r="P55" s="1">
        <v>1.04E-2</v>
      </c>
      <c r="Q55" s="1">
        <v>1.17E-2</v>
      </c>
      <c r="R55" s="1">
        <v>1.3299999999999999E-2</v>
      </c>
      <c r="S55" s="1">
        <v>1.5100000000000001E-2</v>
      </c>
      <c r="T55" s="1">
        <v>1.7299999999999999E-2</v>
      </c>
      <c r="U55" s="1">
        <v>0.02</v>
      </c>
      <c r="V55" s="1">
        <v>2.3400000000000001E-2</v>
      </c>
    </row>
    <row r="56" spans="2:22" x14ac:dyDescent="0.35">
      <c r="B56">
        <v>2005</v>
      </c>
      <c r="C56" s="1">
        <v>3.0000000000000001E-3</v>
      </c>
      <c r="D56" s="1">
        <v>3.3E-3</v>
      </c>
      <c r="E56" s="1">
        <v>3.5999999999999999E-3</v>
      </c>
      <c r="F56" s="1">
        <v>3.8999999999999998E-3</v>
      </c>
      <c r="G56" s="1">
        <v>4.3E-3</v>
      </c>
      <c r="H56" s="1">
        <v>4.7000000000000002E-3</v>
      </c>
      <c r="I56" s="1">
        <v>5.1999999999999998E-3</v>
      </c>
      <c r="J56" s="1">
        <v>5.5999999999999999E-3</v>
      </c>
      <c r="K56" s="1">
        <v>6.1000000000000004E-3</v>
      </c>
      <c r="L56" s="1">
        <v>6.7000000000000002E-3</v>
      </c>
      <c r="M56" s="1">
        <v>7.4000000000000003E-3</v>
      </c>
      <c r="N56" s="1">
        <v>8.3000000000000001E-3</v>
      </c>
      <c r="O56" s="1">
        <v>9.1999999999999998E-3</v>
      </c>
      <c r="P56" s="1">
        <v>1.03E-2</v>
      </c>
      <c r="Q56" s="1">
        <v>1.17E-2</v>
      </c>
      <c r="R56" s="1">
        <v>1.32E-2</v>
      </c>
      <c r="S56" s="1">
        <v>1.5100000000000001E-2</v>
      </c>
      <c r="T56" s="1">
        <v>1.7299999999999999E-2</v>
      </c>
      <c r="U56" s="1">
        <v>0.02</v>
      </c>
      <c r="V56" s="1">
        <v>2.3300000000000001E-2</v>
      </c>
    </row>
    <row r="57" spans="2:22" x14ac:dyDescent="0.35">
      <c r="B57">
        <v>2006</v>
      </c>
      <c r="C57" s="1">
        <v>3.0000000000000001E-3</v>
      </c>
      <c r="D57" s="1">
        <v>3.3E-3</v>
      </c>
      <c r="E57" s="1">
        <v>3.5999999999999999E-3</v>
      </c>
      <c r="F57" s="1">
        <v>3.8999999999999998E-3</v>
      </c>
      <c r="G57" s="1">
        <v>4.3E-3</v>
      </c>
      <c r="H57" s="1">
        <v>4.7000000000000002E-3</v>
      </c>
      <c r="I57" s="1">
        <v>5.1999999999999998E-3</v>
      </c>
      <c r="J57" s="1">
        <v>5.5999999999999999E-3</v>
      </c>
      <c r="K57" s="1">
        <v>6.1000000000000004E-3</v>
      </c>
      <c r="L57" s="1">
        <v>6.7000000000000002E-3</v>
      </c>
      <c r="M57" s="1">
        <v>7.4000000000000003E-3</v>
      </c>
      <c r="N57" s="1">
        <v>8.3000000000000001E-3</v>
      </c>
      <c r="O57" s="1">
        <v>9.1999999999999998E-3</v>
      </c>
      <c r="P57" s="1">
        <v>1.03E-2</v>
      </c>
      <c r="Q57" s="1">
        <v>1.1599999999999999E-2</v>
      </c>
      <c r="R57" s="1">
        <v>1.32E-2</v>
      </c>
      <c r="S57" s="1">
        <v>1.4999999999999999E-2</v>
      </c>
      <c r="T57" s="1">
        <v>1.72E-2</v>
      </c>
      <c r="U57" s="1">
        <v>1.9900000000000001E-2</v>
      </c>
      <c r="V57" s="1">
        <v>2.3199999999999998E-2</v>
      </c>
    </row>
    <row r="58" spans="2:22" x14ac:dyDescent="0.35">
      <c r="B58">
        <v>2007</v>
      </c>
      <c r="C58" s="1">
        <v>3.0000000000000001E-3</v>
      </c>
      <c r="D58" s="1">
        <v>3.3E-3</v>
      </c>
      <c r="E58" s="1">
        <v>3.5999999999999999E-3</v>
      </c>
      <c r="F58" s="1">
        <v>3.8999999999999998E-3</v>
      </c>
      <c r="G58" s="1">
        <v>4.3E-3</v>
      </c>
      <c r="H58" s="1">
        <v>4.7000000000000002E-3</v>
      </c>
      <c r="I58" s="1">
        <v>5.1999999999999998E-3</v>
      </c>
      <c r="J58" s="1">
        <v>5.4999999999999997E-3</v>
      </c>
      <c r="K58" s="1">
        <v>6.1000000000000004E-3</v>
      </c>
      <c r="L58" s="1">
        <v>6.7000000000000002E-3</v>
      </c>
      <c r="M58" s="1">
        <v>7.4000000000000003E-3</v>
      </c>
      <c r="N58" s="1">
        <v>8.2000000000000007E-3</v>
      </c>
      <c r="O58" s="1">
        <v>9.1999999999999998E-3</v>
      </c>
      <c r="P58" s="1">
        <v>1.03E-2</v>
      </c>
      <c r="Q58" s="1">
        <v>1.1599999999999999E-2</v>
      </c>
      <c r="R58" s="1">
        <v>1.3100000000000001E-2</v>
      </c>
      <c r="S58" s="1">
        <v>1.4999999999999999E-2</v>
      </c>
      <c r="T58" s="1">
        <v>1.72E-2</v>
      </c>
      <c r="U58" s="1">
        <v>1.9800000000000002E-2</v>
      </c>
      <c r="V58" s="1">
        <v>2.3099999999999999E-2</v>
      </c>
    </row>
    <row r="59" spans="2:22" x14ac:dyDescent="0.35">
      <c r="B59">
        <v>2008</v>
      </c>
      <c r="C59" s="1">
        <v>3.0000000000000001E-3</v>
      </c>
      <c r="D59" s="1">
        <v>3.3E-3</v>
      </c>
      <c r="E59" s="1">
        <v>3.5999999999999999E-3</v>
      </c>
      <c r="F59" s="1">
        <v>3.8999999999999998E-3</v>
      </c>
      <c r="G59" s="1">
        <v>4.3E-3</v>
      </c>
      <c r="H59" s="1">
        <v>4.7000000000000002E-3</v>
      </c>
      <c r="I59" s="1">
        <v>5.1999999999999998E-3</v>
      </c>
      <c r="J59" s="1">
        <v>5.4999999999999997E-3</v>
      </c>
      <c r="K59" s="1">
        <v>6.1000000000000004E-3</v>
      </c>
      <c r="L59" s="1">
        <v>6.7000000000000002E-3</v>
      </c>
      <c r="M59" s="1">
        <v>7.4000000000000003E-3</v>
      </c>
      <c r="N59" s="1">
        <v>8.2000000000000007E-3</v>
      </c>
      <c r="O59" s="1">
        <v>9.1999999999999998E-3</v>
      </c>
      <c r="P59" s="1">
        <v>1.03E-2</v>
      </c>
      <c r="Q59" s="1">
        <v>1.1599999999999999E-2</v>
      </c>
      <c r="R59" s="1">
        <v>1.3100000000000001E-2</v>
      </c>
      <c r="S59" s="1">
        <v>1.49E-2</v>
      </c>
      <c r="T59" s="1">
        <v>1.7100000000000001E-2</v>
      </c>
      <c r="U59" s="1">
        <v>1.9800000000000002E-2</v>
      </c>
      <c r="V59" s="1">
        <v>2.3E-2</v>
      </c>
    </row>
    <row r="60" spans="2:22" x14ac:dyDescent="0.35">
      <c r="B60">
        <v>2009</v>
      </c>
      <c r="C60" s="1">
        <v>3.0000000000000001E-3</v>
      </c>
      <c r="D60" s="1">
        <v>3.3E-3</v>
      </c>
      <c r="E60" s="1">
        <v>3.5999999999999999E-3</v>
      </c>
      <c r="F60" s="1">
        <v>3.8999999999999998E-3</v>
      </c>
      <c r="G60" s="1">
        <v>4.3E-3</v>
      </c>
      <c r="H60" s="1">
        <v>4.7000000000000002E-3</v>
      </c>
      <c r="I60" s="1">
        <v>5.1999999999999998E-3</v>
      </c>
      <c r="J60" s="1">
        <v>5.4999999999999997E-3</v>
      </c>
      <c r="K60" s="1">
        <v>6.1000000000000004E-3</v>
      </c>
      <c r="L60" s="1">
        <v>6.7000000000000002E-3</v>
      </c>
      <c r="M60" s="1">
        <v>7.4000000000000003E-3</v>
      </c>
      <c r="N60" s="1">
        <v>8.2000000000000007E-3</v>
      </c>
      <c r="O60" s="1">
        <v>9.1999999999999998E-3</v>
      </c>
      <c r="P60" s="1">
        <v>1.03E-2</v>
      </c>
      <c r="Q60" s="1">
        <v>1.15E-2</v>
      </c>
      <c r="R60" s="1">
        <v>1.3100000000000001E-2</v>
      </c>
      <c r="S60" s="1">
        <v>1.49E-2</v>
      </c>
      <c r="T60" s="1">
        <v>1.7100000000000001E-2</v>
      </c>
      <c r="U60" s="1">
        <v>1.9699999999999999E-2</v>
      </c>
      <c r="V60" s="1">
        <v>2.29E-2</v>
      </c>
    </row>
    <row r="61" spans="2:22" x14ac:dyDescent="0.35">
      <c r="B61">
        <v>2010</v>
      </c>
      <c r="C61" s="1">
        <v>3.0000000000000001E-3</v>
      </c>
      <c r="D61" s="1">
        <v>3.3E-3</v>
      </c>
      <c r="E61" s="1">
        <v>3.5999999999999999E-3</v>
      </c>
      <c r="F61" s="1">
        <v>3.8999999999999998E-3</v>
      </c>
      <c r="G61" s="1">
        <v>4.3E-3</v>
      </c>
      <c r="H61" s="1">
        <v>4.7000000000000002E-3</v>
      </c>
      <c r="I61" s="1">
        <v>5.1999999999999998E-3</v>
      </c>
      <c r="J61" s="1">
        <v>5.4999999999999997E-3</v>
      </c>
      <c r="K61" s="1">
        <v>6.1000000000000004E-3</v>
      </c>
      <c r="L61" s="1">
        <v>6.7000000000000002E-3</v>
      </c>
      <c r="M61" s="1">
        <v>7.4000000000000003E-3</v>
      </c>
      <c r="N61" s="1">
        <v>8.2000000000000007E-3</v>
      </c>
      <c r="O61" s="1">
        <v>9.1000000000000004E-3</v>
      </c>
      <c r="P61" s="1">
        <v>1.0200000000000001E-2</v>
      </c>
      <c r="Q61" s="1">
        <v>1.15E-2</v>
      </c>
      <c r="R61" s="1">
        <v>1.2999999999999999E-2</v>
      </c>
      <c r="S61" s="1">
        <v>1.4800000000000001E-2</v>
      </c>
      <c r="T61" s="1">
        <v>1.7000000000000001E-2</v>
      </c>
      <c r="U61" s="1">
        <v>1.9599999999999999E-2</v>
      </c>
      <c r="V61" s="1">
        <v>2.2800000000000001E-2</v>
      </c>
    </row>
    <row r="62" spans="2:22" x14ac:dyDescent="0.35">
      <c r="B62">
        <v>2011</v>
      </c>
      <c r="C62" s="1">
        <v>3.0000000000000001E-3</v>
      </c>
      <c r="D62" s="1">
        <v>3.3E-3</v>
      </c>
      <c r="E62" s="1">
        <v>3.5999999999999999E-3</v>
      </c>
      <c r="F62" s="1">
        <v>3.8999999999999998E-3</v>
      </c>
      <c r="G62" s="1">
        <v>4.3E-3</v>
      </c>
      <c r="H62" s="1">
        <v>4.7000000000000002E-3</v>
      </c>
      <c r="I62" s="1">
        <v>5.1999999999999998E-3</v>
      </c>
      <c r="J62" s="1">
        <v>5.4999999999999997E-3</v>
      </c>
      <c r="K62" s="1">
        <v>6.1000000000000004E-3</v>
      </c>
      <c r="L62" s="1">
        <v>6.7000000000000002E-3</v>
      </c>
      <c r="M62" s="1">
        <v>7.4000000000000003E-3</v>
      </c>
      <c r="N62" s="1">
        <v>8.2000000000000007E-3</v>
      </c>
      <c r="O62" s="1">
        <v>9.1000000000000004E-3</v>
      </c>
      <c r="P62" s="1">
        <v>1.0200000000000001E-2</v>
      </c>
      <c r="Q62" s="1">
        <v>1.15E-2</v>
      </c>
      <c r="R62" s="1">
        <v>1.2999999999999999E-2</v>
      </c>
      <c r="S62" s="1">
        <v>1.4800000000000001E-2</v>
      </c>
      <c r="T62" s="1">
        <v>1.7000000000000001E-2</v>
      </c>
      <c r="U62" s="1">
        <v>1.9599999999999999E-2</v>
      </c>
      <c r="V62" s="1">
        <v>2.2700000000000001E-2</v>
      </c>
    </row>
    <row r="63" spans="2:22" x14ac:dyDescent="0.35">
      <c r="B63">
        <v>2012</v>
      </c>
      <c r="C63" s="1">
        <v>3.0000000000000001E-3</v>
      </c>
      <c r="D63" s="1">
        <v>3.3E-3</v>
      </c>
      <c r="E63" s="1">
        <v>3.5999999999999999E-3</v>
      </c>
      <c r="F63" s="1">
        <v>3.8999999999999998E-3</v>
      </c>
      <c r="G63" s="1">
        <v>4.3E-3</v>
      </c>
      <c r="H63" s="1">
        <v>4.7000000000000002E-3</v>
      </c>
      <c r="I63" s="1">
        <v>5.1999999999999998E-3</v>
      </c>
      <c r="J63" s="1">
        <v>5.4999999999999997E-3</v>
      </c>
      <c r="K63" s="1">
        <v>6.0000000000000001E-3</v>
      </c>
      <c r="L63" s="1">
        <v>6.7000000000000002E-3</v>
      </c>
      <c r="M63" s="1">
        <v>7.4000000000000003E-3</v>
      </c>
      <c r="N63" s="1">
        <v>8.2000000000000007E-3</v>
      </c>
      <c r="O63" s="1">
        <v>9.1000000000000004E-3</v>
      </c>
      <c r="P63" s="1">
        <v>1.0200000000000001E-2</v>
      </c>
      <c r="Q63" s="1">
        <v>1.15E-2</v>
      </c>
      <c r="R63" s="1">
        <v>1.2999999999999999E-2</v>
      </c>
      <c r="S63" s="1">
        <v>1.4800000000000001E-2</v>
      </c>
      <c r="T63" s="1">
        <v>1.6899999999999998E-2</v>
      </c>
      <c r="U63" s="1">
        <v>1.95E-2</v>
      </c>
      <c r="V63" s="1">
        <v>2.2700000000000001E-2</v>
      </c>
    </row>
    <row r="64" spans="2:22" x14ac:dyDescent="0.35">
      <c r="B64">
        <v>2013</v>
      </c>
      <c r="C64" s="1">
        <v>3.0000000000000001E-3</v>
      </c>
      <c r="D64" s="1">
        <v>3.3E-3</v>
      </c>
      <c r="E64" s="1">
        <v>3.5999999999999999E-3</v>
      </c>
      <c r="F64" s="1">
        <v>3.8999999999999998E-3</v>
      </c>
      <c r="G64" s="1">
        <v>4.3E-3</v>
      </c>
      <c r="H64" s="1">
        <v>4.7000000000000002E-3</v>
      </c>
      <c r="I64" s="1">
        <v>5.1999999999999998E-3</v>
      </c>
      <c r="J64" s="1">
        <v>5.4999999999999997E-3</v>
      </c>
      <c r="K64" s="1">
        <v>6.0000000000000001E-3</v>
      </c>
      <c r="L64" s="1">
        <v>6.6E-3</v>
      </c>
      <c r="M64" s="1">
        <v>7.3000000000000001E-3</v>
      </c>
      <c r="N64" s="1">
        <v>8.0999999999999996E-3</v>
      </c>
      <c r="O64" s="1">
        <v>9.1000000000000004E-3</v>
      </c>
      <c r="P64" s="1">
        <v>1.0200000000000001E-2</v>
      </c>
      <c r="Q64" s="1">
        <v>1.14E-2</v>
      </c>
      <c r="R64" s="1">
        <v>1.29E-2</v>
      </c>
      <c r="S64" s="1">
        <v>1.47E-2</v>
      </c>
      <c r="T64" s="1">
        <v>1.6799999999999999E-2</v>
      </c>
      <c r="U64" s="1">
        <v>1.9400000000000001E-2</v>
      </c>
      <c r="V64" s="1">
        <v>2.2599999999999999E-2</v>
      </c>
    </row>
    <row r="65" spans="2:22" x14ac:dyDescent="0.35">
      <c r="B65">
        <v>2014</v>
      </c>
      <c r="C65" s="1">
        <v>3.0000000000000001E-3</v>
      </c>
      <c r="D65" s="1">
        <v>3.3E-3</v>
      </c>
      <c r="E65" s="1">
        <v>3.5999999999999999E-3</v>
      </c>
      <c r="F65" s="1">
        <v>3.8999999999999998E-3</v>
      </c>
      <c r="G65" s="1">
        <v>4.3E-3</v>
      </c>
      <c r="H65" s="1">
        <v>4.7000000000000002E-3</v>
      </c>
      <c r="I65" s="1">
        <v>5.1999999999999998E-3</v>
      </c>
      <c r="J65" s="1">
        <v>5.4999999999999997E-3</v>
      </c>
      <c r="K65" s="1">
        <v>6.0000000000000001E-3</v>
      </c>
      <c r="L65" s="1">
        <v>6.6E-3</v>
      </c>
      <c r="M65" s="1">
        <v>7.3000000000000001E-3</v>
      </c>
      <c r="N65" s="1">
        <v>8.0999999999999996E-3</v>
      </c>
      <c r="O65" s="1">
        <v>9.1000000000000004E-3</v>
      </c>
      <c r="P65" s="1">
        <v>1.01E-2</v>
      </c>
      <c r="Q65" s="1">
        <v>1.14E-2</v>
      </c>
      <c r="R65" s="1">
        <v>1.29E-2</v>
      </c>
      <c r="S65" s="1">
        <v>1.47E-2</v>
      </c>
      <c r="T65" s="1">
        <v>1.6799999999999999E-2</v>
      </c>
      <c r="U65" s="1">
        <v>1.9400000000000001E-2</v>
      </c>
      <c r="V65" s="1">
        <v>2.2499999999999999E-2</v>
      </c>
    </row>
    <row r="66" spans="2:22" x14ac:dyDescent="0.35">
      <c r="B66">
        <v>2015</v>
      </c>
      <c r="C66" s="1">
        <v>3.0000000000000001E-3</v>
      </c>
      <c r="D66" s="1">
        <v>3.3E-3</v>
      </c>
      <c r="E66" s="1">
        <v>3.5999999999999999E-3</v>
      </c>
      <c r="F66" s="1">
        <v>3.8999999999999998E-3</v>
      </c>
      <c r="G66" s="1">
        <v>4.1999999999999997E-3</v>
      </c>
      <c r="H66" s="1">
        <v>4.7000000000000002E-3</v>
      </c>
      <c r="I66" s="1">
        <v>5.1000000000000004E-3</v>
      </c>
      <c r="J66" s="1">
        <v>5.4999999999999997E-3</v>
      </c>
      <c r="K66" s="1">
        <v>6.0000000000000001E-3</v>
      </c>
      <c r="L66" s="1">
        <v>6.6E-3</v>
      </c>
      <c r="M66" s="1">
        <v>7.3000000000000001E-3</v>
      </c>
      <c r="N66" s="1">
        <v>8.0999999999999996E-3</v>
      </c>
      <c r="O66" s="1">
        <v>8.9999999999999993E-3</v>
      </c>
      <c r="P66" s="1">
        <v>1.01E-2</v>
      </c>
      <c r="Q66" s="1">
        <v>1.14E-2</v>
      </c>
      <c r="R66" s="1">
        <v>1.29E-2</v>
      </c>
      <c r="S66" s="1">
        <v>1.46E-2</v>
      </c>
      <c r="T66" s="1">
        <v>1.67E-2</v>
      </c>
      <c r="U66" s="1">
        <v>1.9300000000000001E-2</v>
      </c>
      <c r="V66" s="1">
        <v>2.24E-2</v>
      </c>
    </row>
  </sheetData>
  <sheetProtection sheet="1" objects="1" scenarios="1"/>
  <phoneticPr fontId="2" type="noConversion"/>
  <pageMargins left="0.75" right="0.75" top="1" bottom="1" header="0.5" footer="0.5"/>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B2:E79"/>
  <sheetViews>
    <sheetView zoomScale="115" zoomScaleNormal="115" workbookViewId="0">
      <selection activeCell="T25" sqref="T25"/>
    </sheetView>
  </sheetViews>
  <sheetFormatPr defaultRowHeight="14.5" x14ac:dyDescent="0.35"/>
  <cols>
    <col min="2" max="2" width="15.81640625" bestFit="1" customWidth="1"/>
  </cols>
  <sheetData>
    <row r="2" spans="2:5" x14ac:dyDescent="0.35">
      <c r="B2" t="s">
        <v>84</v>
      </c>
      <c r="C2">
        <v>82</v>
      </c>
      <c r="D2">
        <v>83</v>
      </c>
      <c r="E2">
        <v>84</v>
      </c>
    </row>
    <row r="3" spans="2:5" x14ac:dyDescent="0.35">
      <c r="B3">
        <v>1939</v>
      </c>
      <c r="C3" s="2"/>
      <c r="D3" s="2"/>
      <c r="E3" s="2">
        <v>1.3882E-2</v>
      </c>
    </row>
    <row r="4" spans="2:5" x14ac:dyDescent="0.35">
      <c r="B4">
        <v>1940</v>
      </c>
      <c r="C4" s="2"/>
      <c r="D4" s="2">
        <v>1.0168999999999999E-2</v>
      </c>
      <c r="E4" s="2">
        <v>1.384E-2</v>
      </c>
    </row>
    <row r="5" spans="2:5" x14ac:dyDescent="0.35">
      <c r="B5">
        <v>1941</v>
      </c>
      <c r="C5" s="2">
        <v>7.6670000000000002E-3</v>
      </c>
      <c r="D5" s="2">
        <v>1.0142E-2</v>
      </c>
      <c r="E5" s="2">
        <v>1.3798E-2</v>
      </c>
    </row>
    <row r="6" spans="2:5" x14ac:dyDescent="0.35">
      <c r="B6">
        <v>1942</v>
      </c>
      <c r="C6" s="2">
        <v>7.6490000000000004E-3</v>
      </c>
      <c r="D6" s="2">
        <v>1.0115000000000001E-2</v>
      </c>
      <c r="E6" s="2">
        <v>1.3756000000000001E-2</v>
      </c>
    </row>
    <row r="7" spans="2:5" x14ac:dyDescent="0.35">
      <c r="B7">
        <v>1943</v>
      </c>
      <c r="C7" s="2">
        <v>7.6319999999999999E-3</v>
      </c>
      <c r="D7" s="2">
        <v>1.0088E-2</v>
      </c>
      <c r="E7" s="2">
        <v>1.3715E-2</v>
      </c>
    </row>
    <row r="8" spans="2:5" x14ac:dyDescent="0.35">
      <c r="B8">
        <v>1944</v>
      </c>
      <c r="C8" s="2">
        <v>7.6140000000000001E-3</v>
      </c>
      <c r="D8" s="2">
        <v>1.0061E-2</v>
      </c>
      <c r="E8" s="2">
        <v>1.3674E-2</v>
      </c>
    </row>
    <row r="9" spans="2:5" x14ac:dyDescent="0.35">
      <c r="B9">
        <v>1945</v>
      </c>
      <c r="C9" s="2">
        <v>7.5969999999999996E-3</v>
      </c>
      <c r="D9" s="2">
        <v>1.0035000000000001E-2</v>
      </c>
      <c r="E9" s="2">
        <v>1.3632999999999999E-2</v>
      </c>
    </row>
    <row r="10" spans="2:5" x14ac:dyDescent="0.35">
      <c r="B10">
        <v>1946</v>
      </c>
      <c r="C10" s="2">
        <v>7.5789999999999998E-3</v>
      </c>
      <c r="D10" s="2">
        <v>1.0008E-2</v>
      </c>
      <c r="E10" s="2">
        <v>1.3592999999999999E-2</v>
      </c>
    </row>
    <row r="11" spans="2:5" x14ac:dyDescent="0.35">
      <c r="B11">
        <v>1947</v>
      </c>
      <c r="C11" s="2">
        <v>7.5620000000000001E-3</v>
      </c>
      <c r="D11" s="2">
        <v>9.9819999999999996E-3</v>
      </c>
      <c r="E11" s="2">
        <v>1.3552E-2</v>
      </c>
    </row>
    <row r="12" spans="2:5" x14ac:dyDescent="0.35">
      <c r="B12">
        <v>1948</v>
      </c>
      <c r="C12" s="2">
        <v>7.5449999999999996E-3</v>
      </c>
      <c r="D12" s="2">
        <v>9.9559999999999996E-3</v>
      </c>
      <c r="E12" s="2">
        <v>1.3512E-2</v>
      </c>
    </row>
    <row r="13" spans="2:5" x14ac:dyDescent="0.35">
      <c r="B13">
        <v>1949</v>
      </c>
      <c r="C13" s="2">
        <v>7.528E-3</v>
      </c>
      <c r="D13" s="2">
        <v>9.9299999999999996E-3</v>
      </c>
      <c r="E13" s="2">
        <v>1.3494000000000001E-2</v>
      </c>
    </row>
    <row r="14" spans="2:5" x14ac:dyDescent="0.35">
      <c r="B14">
        <v>1950</v>
      </c>
      <c r="C14" s="2">
        <v>7.5110000000000003E-3</v>
      </c>
      <c r="D14" s="2">
        <v>9.9050000000000006E-3</v>
      </c>
      <c r="E14" s="2">
        <v>1.3433E-2</v>
      </c>
    </row>
    <row r="15" spans="2:5" x14ac:dyDescent="0.35">
      <c r="B15">
        <v>1951</v>
      </c>
      <c r="C15" s="2">
        <v>7.4939999999999998E-3</v>
      </c>
      <c r="D15" s="2">
        <v>9.8790000000000006E-3</v>
      </c>
      <c r="E15" s="2">
        <v>1.3394E-2</v>
      </c>
    </row>
    <row r="16" spans="2:5" x14ac:dyDescent="0.35">
      <c r="B16">
        <v>1952</v>
      </c>
      <c r="C16" s="2">
        <v>7.4770000000000001E-3</v>
      </c>
      <c r="D16" s="2">
        <v>9.8539999999999999E-3</v>
      </c>
      <c r="E16" s="2">
        <v>1.3356E-2</v>
      </c>
    </row>
    <row r="17" spans="2:5" x14ac:dyDescent="0.35">
      <c r="B17">
        <v>1953</v>
      </c>
      <c r="C17" s="2">
        <v>7.4599999999999996E-3</v>
      </c>
      <c r="D17" s="2">
        <v>9.8289999999999992E-3</v>
      </c>
      <c r="E17" s="2">
        <v>1.3317000000000001E-2</v>
      </c>
    </row>
    <row r="18" spans="2:5" x14ac:dyDescent="0.35">
      <c r="B18">
        <v>1954</v>
      </c>
      <c r="C18" s="2">
        <v>7.4440000000000001E-3</v>
      </c>
      <c r="D18" s="2">
        <v>9.8040000000000002E-3</v>
      </c>
      <c r="E18" s="2">
        <v>1.3278999999999999E-2</v>
      </c>
    </row>
    <row r="19" spans="2:5" x14ac:dyDescent="0.35">
      <c r="B19">
        <v>1955</v>
      </c>
      <c r="C19" s="2">
        <v>7.4279999999999997E-3</v>
      </c>
      <c r="D19" s="2">
        <v>9.7800000000000005E-3</v>
      </c>
      <c r="E19" s="2">
        <v>1.3240999999999999E-2</v>
      </c>
    </row>
    <row r="20" spans="2:5" x14ac:dyDescent="0.35">
      <c r="B20">
        <v>1956</v>
      </c>
      <c r="C20" s="2">
        <v>7.4120000000000002E-3</v>
      </c>
      <c r="D20" s="2">
        <v>9.7549999999999998E-3</v>
      </c>
      <c r="E20" s="2">
        <v>1.3204E-2</v>
      </c>
    </row>
    <row r="21" spans="2:5" x14ac:dyDescent="0.35">
      <c r="B21">
        <v>1957</v>
      </c>
      <c r="C21" s="2">
        <v>7.3959999999999998E-3</v>
      </c>
      <c r="D21" s="2">
        <v>9.7310000000000001E-3</v>
      </c>
      <c r="E21" s="2">
        <v>1.3167E-2</v>
      </c>
    </row>
    <row r="22" spans="2:5" x14ac:dyDescent="0.35">
      <c r="B22">
        <v>1958</v>
      </c>
      <c r="C22" s="2">
        <v>7.3800000000000003E-3</v>
      </c>
      <c r="D22" s="2">
        <v>9.7070000000000004E-3</v>
      </c>
      <c r="E22" s="2">
        <v>1.3129999999999999E-2</v>
      </c>
    </row>
    <row r="23" spans="2:5" x14ac:dyDescent="0.35">
      <c r="B23">
        <v>1959</v>
      </c>
      <c r="C23" s="2">
        <v>7.3639999999999999E-3</v>
      </c>
      <c r="D23" s="2">
        <v>9.6830000000000006E-3</v>
      </c>
      <c r="E23" s="2">
        <v>1.3093E-2</v>
      </c>
    </row>
    <row r="24" spans="2:5" x14ac:dyDescent="0.35">
      <c r="B24">
        <v>1960</v>
      </c>
      <c r="C24" s="2">
        <v>7.3489999999999996E-3</v>
      </c>
      <c r="D24" s="2">
        <v>9.6600000000000002E-3</v>
      </c>
      <c r="E24" s="2">
        <v>1.3056999999999999E-2</v>
      </c>
    </row>
    <row r="25" spans="2:5" x14ac:dyDescent="0.35">
      <c r="B25">
        <v>1961</v>
      </c>
      <c r="C25" s="2">
        <v>7.3340000000000002E-3</v>
      </c>
      <c r="D25" s="2">
        <v>9.6369999999999997E-3</v>
      </c>
      <c r="E25" s="2">
        <v>1.3021E-2</v>
      </c>
    </row>
    <row r="26" spans="2:5" x14ac:dyDescent="0.35">
      <c r="B26">
        <v>1962</v>
      </c>
      <c r="C26" s="2">
        <v>7.319E-3</v>
      </c>
      <c r="D26" s="2">
        <v>9.613E-3</v>
      </c>
      <c r="E26" s="2">
        <v>1.2985E-2</v>
      </c>
    </row>
    <row r="27" spans="2:5" x14ac:dyDescent="0.35">
      <c r="B27">
        <v>1963</v>
      </c>
      <c r="C27" s="2">
        <v>7.3039999999999997E-3</v>
      </c>
      <c r="D27" s="2">
        <v>9.5910000000000006E-3</v>
      </c>
      <c r="E27" s="2">
        <v>1.295E-2</v>
      </c>
    </row>
    <row r="28" spans="2:5" x14ac:dyDescent="0.35">
      <c r="B28">
        <v>1964</v>
      </c>
      <c r="C28" s="2">
        <v>7.2890000000000003E-3</v>
      </c>
      <c r="D28" s="2">
        <v>9.5680000000000001E-3</v>
      </c>
      <c r="E28" s="2">
        <v>1.2914999999999999E-2</v>
      </c>
    </row>
    <row r="29" spans="2:5" x14ac:dyDescent="0.35">
      <c r="B29">
        <v>1965</v>
      </c>
      <c r="C29" s="2">
        <v>7.2740000000000001E-3</v>
      </c>
      <c r="D29" s="2">
        <v>9.5449999999999997E-3</v>
      </c>
      <c r="E29" s="2">
        <v>1.2880000000000001E-2</v>
      </c>
    </row>
    <row r="30" spans="2:5" x14ac:dyDescent="0.35">
      <c r="B30">
        <v>1966</v>
      </c>
      <c r="C30" s="2">
        <v>7.26E-3</v>
      </c>
      <c r="D30" s="2">
        <v>9.5230000000000002E-3</v>
      </c>
      <c r="E30" s="2">
        <v>1.2845000000000001E-2</v>
      </c>
    </row>
    <row r="31" spans="2:5" x14ac:dyDescent="0.35">
      <c r="B31">
        <v>1967</v>
      </c>
      <c r="C31" s="2">
        <v>7.2459999999999998E-3</v>
      </c>
      <c r="D31" s="2">
        <v>9.5010000000000008E-3</v>
      </c>
      <c r="E31" s="2">
        <v>1.2810999999999999E-2</v>
      </c>
    </row>
    <row r="32" spans="2:5" x14ac:dyDescent="0.35">
      <c r="B32">
        <v>1968</v>
      </c>
      <c r="C32" s="2">
        <v>7.2309999999999996E-3</v>
      </c>
      <c r="D32" s="2">
        <v>9.4789999999999996E-3</v>
      </c>
      <c r="E32" s="2">
        <v>1.2777E-2</v>
      </c>
    </row>
    <row r="33" spans="2:5" x14ac:dyDescent="0.35">
      <c r="B33">
        <v>1969</v>
      </c>
      <c r="C33" s="2">
        <v>7.2170000000000003E-3</v>
      </c>
      <c r="D33" s="2">
        <v>9.4570000000000001E-3</v>
      </c>
      <c r="E33" s="2">
        <v>1.2743000000000001E-2</v>
      </c>
    </row>
    <row r="34" spans="2:5" x14ac:dyDescent="0.35">
      <c r="B34">
        <v>1970</v>
      </c>
      <c r="C34" s="2">
        <v>7.2040000000000003E-3</v>
      </c>
      <c r="D34" s="2">
        <v>9.4359999999999999E-3</v>
      </c>
      <c r="E34" s="2">
        <v>1.2710000000000001E-2</v>
      </c>
    </row>
    <row r="35" spans="2:5" x14ac:dyDescent="0.35">
      <c r="B35">
        <v>1971</v>
      </c>
      <c r="C35" s="2">
        <v>7.1900000000000002E-3</v>
      </c>
      <c r="D35" s="2">
        <v>9.4149999999999998E-3</v>
      </c>
      <c r="E35" s="2">
        <v>1.2676E-2</v>
      </c>
    </row>
    <row r="36" spans="2:5" x14ac:dyDescent="0.35">
      <c r="B36">
        <v>1972</v>
      </c>
      <c r="C36" s="2">
        <v>7.1760000000000001E-3</v>
      </c>
      <c r="D36" s="2">
        <v>9.3930000000000003E-3</v>
      </c>
      <c r="E36" s="2">
        <v>1.2643E-2</v>
      </c>
    </row>
    <row r="37" spans="2:5" x14ac:dyDescent="0.35">
      <c r="B37">
        <v>1973</v>
      </c>
      <c r="C37" s="2">
        <v>7.1630000000000001E-3</v>
      </c>
      <c r="D37" s="2">
        <v>9.3720000000000001E-3</v>
      </c>
      <c r="E37" s="2">
        <v>1.2611000000000001E-2</v>
      </c>
    </row>
    <row r="38" spans="2:5" x14ac:dyDescent="0.35">
      <c r="B38">
        <v>1974</v>
      </c>
      <c r="C38" s="2">
        <v>7.1500000000000001E-3</v>
      </c>
      <c r="D38" s="2">
        <v>9.3519999999999992E-3</v>
      </c>
      <c r="E38" s="2">
        <v>1.2578000000000001E-2</v>
      </c>
    </row>
    <row r="39" spans="2:5" x14ac:dyDescent="0.35">
      <c r="B39">
        <v>1975</v>
      </c>
      <c r="C39" s="2">
        <v>7.136E-3</v>
      </c>
      <c r="D39" s="2">
        <v>9.3310000000000008E-3</v>
      </c>
      <c r="E39" s="2">
        <v>1.2546E-2</v>
      </c>
    </row>
    <row r="40" spans="2:5" x14ac:dyDescent="0.35">
      <c r="B40">
        <v>1976</v>
      </c>
      <c r="C40" s="2">
        <v>7.123E-3</v>
      </c>
      <c r="D40" s="2">
        <v>9.3109999999999998E-3</v>
      </c>
      <c r="E40" s="2">
        <v>1.2514000000000001E-2</v>
      </c>
    </row>
    <row r="41" spans="2:5" x14ac:dyDescent="0.35">
      <c r="B41">
        <v>1977</v>
      </c>
      <c r="C41" s="2">
        <v>7.1110000000000001E-3</v>
      </c>
      <c r="D41" s="2">
        <v>9.2899999999999996E-3</v>
      </c>
      <c r="E41" s="2">
        <v>1.2482E-2</v>
      </c>
    </row>
    <row r="42" spans="2:5" x14ac:dyDescent="0.35">
      <c r="B42">
        <v>1978</v>
      </c>
      <c r="C42" s="2">
        <v>7.0980000000000001E-3</v>
      </c>
      <c r="D42" s="2">
        <v>9.2700000000000005E-3</v>
      </c>
      <c r="E42" s="2">
        <v>1.2451E-2</v>
      </c>
    </row>
    <row r="43" spans="2:5" x14ac:dyDescent="0.35">
      <c r="B43">
        <v>1979</v>
      </c>
      <c r="C43" s="2">
        <v>7.0850000000000002E-3</v>
      </c>
      <c r="D43" s="2">
        <v>9.2499999999999995E-3</v>
      </c>
      <c r="E43" s="2">
        <v>1.242E-2</v>
      </c>
    </row>
    <row r="44" spans="2:5" x14ac:dyDescent="0.35">
      <c r="B44">
        <v>1980</v>
      </c>
      <c r="C44" s="2">
        <v>7.0720000000000002E-3</v>
      </c>
      <c r="D44" s="2">
        <v>9.2300000000000004E-3</v>
      </c>
      <c r="E44" s="2">
        <v>1.2389000000000001E-2</v>
      </c>
    </row>
    <row r="45" spans="2:5" x14ac:dyDescent="0.35">
      <c r="B45">
        <v>1981</v>
      </c>
      <c r="C45" s="2">
        <v>7.0600000000000003E-3</v>
      </c>
      <c r="D45" s="2">
        <v>9.2110000000000004E-3</v>
      </c>
      <c r="E45" s="2">
        <v>1.2357999999999999E-2</v>
      </c>
    </row>
    <row r="46" spans="2:5" x14ac:dyDescent="0.35">
      <c r="B46">
        <v>1982</v>
      </c>
      <c r="C46" s="2">
        <v>7.0470000000000003E-3</v>
      </c>
      <c r="D46" s="2">
        <v>9.1909999999999995E-3</v>
      </c>
      <c r="E46" s="2">
        <v>1.2326999999999999E-2</v>
      </c>
    </row>
    <row r="47" spans="2:5" x14ac:dyDescent="0.35">
      <c r="B47">
        <v>1983</v>
      </c>
      <c r="C47" s="2">
        <v>7.0349999999999996E-3</v>
      </c>
      <c r="D47" s="2">
        <v>9.1719999999999996E-3</v>
      </c>
      <c r="E47" s="2">
        <v>1.2297000000000001E-2</v>
      </c>
    </row>
    <row r="48" spans="2:5" x14ac:dyDescent="0.35">
      <c r="B48">
        <v>1984</v>
      </c>
      <c r="C48" s="2">
        <v>7.0229999999999997E-3</v>
      </c>
      <c r="D48" s="2">
        <v>9.1520000000000004E-3</v>
      </c>
      <c r="E48" s="2">
        <v>1.2267E-2</v>
      </c>
    </row>
    <row r="49" spans="2:5" x14ac:dyDescent="0.35">
      <c r="B49">
        <v>1985</v>
      </c>
      <c r="C49" s="2">
        <v>7.0099999999999997E-3</v>
      </c>
      <c r="D49" s="2">
        <v>9.1330000000000005E-3</v>
      </c>
      <c r="E49" s="2">
        <v>1.2237E-2</v>
      </c>
    </row>
    <row r="50" spans="2:5" x14ac:dyDescent="0.35">
      <c r="B50">
        <v>1986</v>
      </c>
      <c r="C50" s="2">
        <v>6.9979999999999999E-3</v>
      </c>
      <c r="D50" s="2">
        <v>9.1140000000000006E-3</v>
      </c>
      <c r="E50" s="2">
        <v>1.2207000000000001E-2</v>
      </c>
    </row>
    <row r="51" spans="2:5" x14ac:dyDescent="0.35">
      <c r="B51">
        <v>1987</v>
      </c>
      <c r="C51" s="2">
        <v>6.986E-3</v>
      </c>
      <c r="D51" s="2">
        <v>9.0950000000000007E-3</v>
      </c>
      <c r="E51" s="2">
        <v>1.2178E-2</v>
      </c>
    </row>
    <row r="52" spans="2:5" x14ac:dyDescent="0.35">
      <c r="B52">
        <v>1988</v>
      </c>
      <c r="C52" s="2">
        <v>6.9740000000000002E-3</v>
      </c>
      <c r="D52" s="2">
        <v>9.0760000000000007E-3</v>
      </c>
      <c r="E52" s="2">
        <v>1.2149E-2</v>
      </c>
    </row>
    <row r="53" spans="2:5" x14ac:dyDescent="0.35">
      <c r="B53">
        <v>1989</v>
      </c>
      <c r="C53" s="2">
        <v>6.9620000000000003E-3</v>
      </c>
      <c r="D53" s="2">
        <v>9.0580000000000001E-3</v>
      </c>
      <c r="E53" s="2">
        <v>1.2119E-2</v>
      </c>
    </row>
    <row r="54" spans="2:5" x14ac:dyDescent="0.35">
      <c r="B54">
        <v>1990</v>
      </c>
      <c r="C54" s="2">
        <v>6.9499999999999996E-3</v>
      </c>
      <c r="D54" s="2">
        <v>9.0390000000000002E-3</v>
      </c>
      <c r="E54" s="2">
        <v>1.2090999999999999E-2</v>
      </c>
    </row>
    <row r="55" spans="2:5" x14ac:dyDescent="0.35">
      <c r="B55">
        <v>1991</v>
      </c>
      <c r="C55" s="2">
        <v>6.9379999999999997E-3</v>
      </c>
      <c r="D55" s="2">
        <v>9.0209999999999995E-3</v>
      </c>
      <c r="E55" s="2">
        <v>1.2062E-2</v>
      </c>
    </row>
    <row r="56" spans="2:5" x14ac:dyDescent="0.35">
      <c r="B56">
        <v>1992</v>
      </c>
      <c r="C56" s="2">
        <v>6.9259999999999999E-3</v>
      </c>
      <c r="D56" s="2">
        <v>9.0019999999999996E-3</v>
      </c>
      <c r="E56" s="2">
        <v>1.2034E-2</v>
      </c>
    </row>
    <row r="57" spans="2:5" x14ac:dyDescent="0.35">
      <c r="B57">
        <v>1993</v>
      </c>
      <c r="C57" s="2">
        <v>6.9150000000000001E-3</v>
      </c>
      <c r="D57" s="2">
        <v>8.9840000000000007E-3</v>
      </c>
      <c r="E57" s="2">
        <v>1.2005E-2</v>
      </c>
    </row>
    <row r="58" spans="2:5" x14ac:dyDescent="0.35">
      <c r="B58">
        <v>1994</v>
      </c>
      <c r="C58" s="2">
        <v>6.9030000000000003E-3</v>
      </c>
      <c r="D58" s="2">
        <v>8.966E-3</v>
      </c>
      <c r="E58" s="2">
        <v>1.1977E-2</v>
      </c>
    </row>
    <row r="59" spans="2:5" x14ac:dyDescent="0.35">
      <c r="B59">
        <v>1995</v>
      </c>
      <c r="C59" s="2">
        <v>6.8910000000000004E-3</v>
      </c>
      <c r="D59" s="2">
        <v>8.9479999999999994E-3</v>
      </c>
      <c r="E59" s="2">
        <v>1.1950000000000001E-2</v>
      </c>
    </row>
    <row r="60" spans="2:5" x14ac:dyDescent="0.35">
      <c r="B60">
        <v>1996</v>
      </c>
      <c r="C60" s="2">
        <v>6.8799999999999998E-3</v>
      </c>
      <c r="D60" s="2">
        <v>8.9300000000000004E-3</v>
      </c>
      <c r="E60" s="2">
        <v>1.1922E-2</v>
      </c>
    </row>
    <row r="61" spans="2:5" x14ac:dyDescent="0.35">
      <c r="B61">
        <v>1997</v>
      </c>
      <c r="C61" s="2">
        <v>6.868E-3</v>
      </c>
      <c r="D61" s="2">
        <v>8.9119999999999998E-3</v>
      </c>
      <c r="E61" s="2">
        <v>1.1894999999999999E-2</v>
      </c>
    </row>
    <row r="62" spans="2:5" x14ac:dyDescent="0.35">
      <c r="B62">
        <v>1998</v>
      </c>
      <c r="C62" s="2">
        <v>6.8570000000000002E-3</v>
      </c>
      <c r="D62" s="2">
        <v>8.8950000000000001E-3</v>
      </c>
      <c r="E62" s="2">
        <v>1.1867000000000001E-2</v>
      </c>
    </row>
    <row r="63" spans="2:5" x14ac:dyDescent="0.35">
      <c r="B63">
        <v>1999</v>
      </c>
      <c r="C63" s="2">
        <v>6.8459999999999997E-3</v>
      </c>
      <c r="D63" s="2">
        <v>8.8769999999999995E-3</v>
      </c>
      <c r="E63" s="2">
        <v>1.184E-2</v>
      </c>
    </row>
    <row r="64" spans="2:5" x14ac:dyDescent="0.35">
      <c r="B64">
        <v>2000</v>
      </c>
      <c r="C64" s="2">
        <v>6.8349999999999999E-3</v>
      </c>
      <c r="D64" s="2">
        <v>8.8599999999999998E-3</v>
      </c>
      <c r="E64" s="2">
        <v>1.1813000000000001E-2</v>
      </c>
    </row>
    <row r="65" spans="2:5" x14ac:dyDescent="0.35">
      <c r="B65">
        <v>2001</v>
      </c>
      <c r="C65" s="2">
        <v>6.8230000000000001E-3</v>
      </c>
      <c r="D65" s="2">
        <v>8.8430000000000002E-3</v>
      </c>
      <c r="E65" s="2">
        <v>1.1787000000000001E-2</v>
      </c>
    </row>
    <row r="66" spans="2:5" x14ac:dyDescent="0.35">
      <c r="B66">
        <v>2002</v>
      </c>
      <c r="C66" s="2">
        <v>6.8120000000000003E-3</v>
      </c>
      <c r="D66" s="2">
        <v>8.8249999999999995E-3</v>
      </c>
      <c r="E66" s="2">
        <v>1.176E-2</v>
      </c>
    </row>
    <row r="67" spans="2:5" x14ac:dyDescent="0.35">
      <c r="B67">
        <v>2003</v>
      </c>
      <c r="C67" s="2">
        <v>6.8009999999999998E-3</v>
      </c>
      <c r="D67" s="2">
        <v>8.8079999999999999E-3</v>
      </c>
      <c r="E67" s="2">
        <v>1.1734E-2</v>
      </c>
    </row>
    <row r="68" spans="2:5" x14ac:dyDescent="0.35">
      <c r="B68">
        <v>2004</v>
      </c>
      <c r="C68" s="2">
        <v>6.79E-3</v>
      </c>
      <c r="D68" s="2">
        <v>8.7910000000000002E-3</v>
      </c>
      <c r="E68" s="2">
        <v>1.1708E-2</v>
      </c>
    </row>
    <row r="69" spans="2:5" x14ac:dyDescent="0.35">
      <c r="B69">
        <v>2005</v>
      </c>
      <c r="C69" s="2">
        <v>6.7790000000000003E-3</v>
      </c>
      <c r="D69" s="2">
        <v>8.7749999999999998E-3</v>
      </c>
      <c r="E69" s="2">
        <v>1.1682E-2</v>
      </c>
    </row>
    <row r="70" spans="2:5" x14ac:dyDescent="0.35">
      <c r="B70">
        <v>2006</v>
      </c>
      <c r="C70" s="2">
        <v>6.7679999999999997E-3</v>
      </c>
      <c r="D70" s="2">
        <v>8.7580000000000002E-3</v>
      </c>
      <c r="E70" s="2">
        <v>1.1656E-2</v>
      </c>
    </row>
    <row r="71" spans="2:5" x14ac:dyDescent="0.35">
      <c r="B71">
        <v>2007</v>
      </c>
      <c r="C71" s="2">
        <v>6.7580000000000001E-3</v>
      </c>
      <c r="D71" s="2">
        <v>8.7410000000000005E-3</v>
      </c>
      <c r="E71" s="2">
        <v>1.1631000000000001E-2</v>
      </c>
    </row>
    <row r="72" spans="2:5" x14ac:dyDescent="0.35">
      <c r="B72">
        <v>2008</v>
      </c>
      <c r="C72" s="2">
        <v>6.7470000000000004E-3</v>
      </c>
      <c r="D72" s="2">
        <v>8.7250000000000001E-3</v>
      </c>
      <c r="E72" s="2">
        <v>1.1606E-2</v>
      </c>
    </row>
    <row r="73" spans="2:5" x14ac:dyDescent="0.35">
      <c r="B73">
        <v>2009</v>
      </c>
      <c r="C73" s="2">
        <v>6.7359999999999998E-3</v>
      </c>
      <c r="D73" s="2">
        <v>8.7080000000000005E-3</v>
      </c>
      <c r="E73" s="2">
        <v>1.158E-2</v>
      </c>
    </row>
    <row r="74" spans="2:5" x14ac:dyDescent="0.35">
      <c r="B74">
        <v>2010</v>
      </c>
      <c r="C74" s="2">
        <v>6.7260000000000002E-3</v>
      </c>
      <c r="D74" s="2">
        <v>8.6920000000000001E-3</v>
      </c>
      <c r="E74" s="2">
        <v>1.1554999999999999E-2</v>
      </c>
    </row>
    <row r="75" spans="2:5" x14ac:dyDescent="0.35">
      <c r="B75">
        <v>2011</v>
      </c>
      <c r="C75" s="2">
        <v>6.7149999999999996E-3</v>
      </c>
      <c r="D75" s="2">
        <v>8.6759999999999997E-3</v>
      </c>
      <c r="E75" s="2">
        <v>1.1531E-2</v>
      </c>
    </row>
    <row r="76" spans="2:5" x14ac:dyDescent="0.35">
      <c r="B76">
        <v>2012</v>
      </c>
      <c r="C76" s="2">
        <v>6.705E-3</v>
      </c>
      <c r="D76" s="2">
        <v>8.6599999999999993E-3</v>
      </c>
      <c r="E76" s="2">
        <v>1.1506000000000001E-2</v>
      </c>
    </row>
    <row r="77" spans="2:5" x14ac:dyDescent="0.35">
      <c r="B77">
        <v>2013</v>
      </c>
      <c r="C77" s="2">
        <v>6.6940000000000003E-3</v>
      </c>
      <c r="D77" s="2">
        <v>8.6440000000000006E-3</v>
      </c>
      <c r="E77" s="2">
        <v>1.1481999999999999E-2</v>
      </c>
    </row>
    <row r="78" spans="2:5" x14ac:dyDescent="0.35">
      <c r="B78">
        <v>2014</v>
      </c>
      <c r="C78" s="2">
        <v>6.6839999999999998E-3</v>
      </c>
      <c r="D78" s="2">
        <v>8.6280000000000003E-3</v>
      </c>
      <c r="E78" s="2">
        <v>1.1457E-2</v>
      </c>
    </row>
    <row r="79" spans="2:5" x14ac:dyDescent="0.35">
      <c r="B79">
        <v>2015</v>
      </c>
      <c r="C79" s="2">
        <v>6.6740000000000002E-3</v>
      </c>
      <c r="D79" s="2">
        <v>8.6119999999999999E-3</v>
      </c>
      <c r="E79" s="2">
        <v>1.1433E-2</v>
      </c>
    </row>
  </sheetData>
  <sheetProtection algorithmName="SHA-512" hashValue="rlsfSOBZFt710Z7pMWz7F62kzB9200GhSzRPdUulMNiuQwxiYG9+yZx+w4tRFOwysNibyjpwaK4J3NywPQLR5Q==" saltValue="oeh96Owq9E81Gbjy1ppx3A==" spinCount="100000" sheet="1" objects="1" scenarios="1"/>
  <pageMargins left="0.75" right="0.75" top="1" bottom="1" header="0.5" footer="0.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_x00ed__x00f0_astbreytt xmlns="621acf6f-4247-4ff6-aa70-82ead643ecf0"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FDF82402B15C5A4D8161FB07F827A842" ma:contentTypeVersion="8" ma:contentTypeDescription="Create a new document." ma:contentTypeScope="" ma:versionID="19b41fa46227f38250c5f4cd730f208a">
  <xsd:schema xmlns:xsd="http://www.w3.org/2001/XMLSchema" xmlns:xs="http://www.w3.org/2001/XMLSchema" xmlns:p="http://schemas.microsoft.com/office/2006/metadata/properties" xmlns:ns2="621acf6f-4247-4ff6-aa70-82ead643ecf0" xmlns:ns3="4c7b0635-fb77-432c-8eb9-635ffd044a83" targetNamespace="http://schemas.microsoft.com/office/2006/metadata/properties" ma:root="true" ma:fieldsID="1909f212405ce4021bdc8a540cb18cba" ns2:_="" ns3:_="">
    <xsd:import namespace="621acf6f-4247-4ff6-aa70-82ead643ecf0"/>
    <xsd:import namespace="4c7b0635-fb77-432c-8eb9-635ffd044a83"/>
    <xsd:element name="properties">
      <xsd:complexType>
        <xsd:sequence>
          <xsd:element name="documentManagement">
            <xsd:complexType>
              <xsd:all>
                <xsd:element ref="ns2:MediaServiceMetadata" minOccurs="0"/>
                <xsd:element ref="ns2:MediaServiceFastMetadata" minOccurs="0"/>
                <xsd:element ref="ns2:s_x00ed__x00f0_astbreytt" minOccurs="0"/>
                <xsd:element ref="ns3:SharedWithUsers" minOccurs="0"/>
                <xsd:element ref="ns3:SharedWithDetails"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21acf6f-4247-4ff6-aa70-82ead643ecf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s_x00ed__x00f0_astbreytt" ma:index="10" nillable="true" ma:displayName="síðast breytt" ma:format="DateTime" ma:internalName="s_x00ed__x00f0_astbreytt">
      <xsd:simpleType>
        <xsd:restriction base="dms:DateTim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SearchProperties" ma:index="14" nillable="true" ma:displayName="MediaServiceSearchProperties" ma:hidden="true" ma:internalName="MediaServiceSearchProperties" ma:readOnly="true">
      <xsd:simpleType>
        <xsd:restriction base="dms:Note"/>
      </xsd:simpleType>
    </xsd:element>
    <xsd:element name="MediaServiceBillingMetadata" ma:index="1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c7b0635-fb77-432c-8eb9-635ffd044a83" elementFormDefault="qualified">
    <xsd:import namespace="http://schemas.microsoft.com/office/2006/documentManagement/types"/>
    <xsd:import namespace="http://schemas.microsoft.com/office/infopath/2007/PartnerControls"/>
    <xsd:element name="SharedWithUsers" ma:index="1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6684148-F83A-42CA-B426-7F90F73DA122}">
  <ds:schemaRefs>
    <ds:schemaRef ds:uri="http://schemas.microsoft.com/office/2006/metadata/properties"/>
    <ds:schemaRef ds:uri="http://schemas.microsoft.com/office/infopath/2007/PartnerControls"/>
    <ds:schemaRef ds:uri="621acf6f-4247-4ff6-aa70-82ead643ecf0"/>
  </ds:schemaRefs>
</ds:datastoreItem>
</file>

<file path=customXml/itemProps2.xml><?xml version="1.0" encoding="utf-8"?>
<ds:datastoreItem xmlns:ds="http://schemas.openxmlformats.org/officeDocument/2006/customXml" ds:itemID="{A2C69A2D-EF5D-4DA6-992B-C1F2E74E48A4}">
  <ds:schemaRefs>
    <ds:schemaRef ds:uri="http://schemas.microsoft.com/sharepoint/v3/contenttype/forms"/>
  </ds:schemaRefs>
</ds:datastoreItem>
</file>

<file path=customXml/itemProps3.xml><?xml version="1.0" encoding="utf-8"?>
<ds:datastoreItem xmlns:ds="http://schemas.openxmlformats.org/officeDocument/2006/customXml" ds:itemID="{79DF3945-700E-42FA-A27B-36B4821A82D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21acf6f-4247-4ff6-aa70-82ead643ecf0"/>
    <ds:schemaRef ds:uri="4c7b0635-fb77-432c-8eb9-635ffd044a8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a355b245-b050-4acd-9089-aafe22475fc8}" enabled="1" method="Standard" siteId="{8a1f1d0a-876f-4ed5-8a0c-89d517bd788a}"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vt:i4>
      </vt:variant>
    </vt:vector>
  </HeadingPairs>
  <TitlesOfParts>
    <vt:vector size="9" baseType="lpstr">
      <vt:lpstr>Reiknivél</vt:lpstr>
      <vt:lpstr>Aðalskjal gamalt</vt:lpstr>
      <vt:lpstr>Reikningur</vt:lpstr>
      <vt:lpstr>Frjálsa leiðin</vt:lpstr>
      <vt:lpstr>Erfanlega leiðin</vt:lpstr>
      <vt:lpstr>Frjálsa lækkun hækkun</vt:lpstr>
      <vt:lpstr>LB hækkun lækkun</vt:lpstr>
      <vt:lpstr>Erfanlega lækkun lífeyris</vt:lpstr>
      <vt:lpstr>m_r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openpyxl</dc:creator>
  <cp:keywords/>
  <dc:description/>
  <cp:lastModifiedBy>Hrafnhildur Líf Jónsdóttir</cp:lastModifiedBy>
  <cp:revision/>
  <dcterms:created xsi:type="dcterms:W3CDTF">2024-12-16T14:59:39Z</dcterms:created>
  <dcterms:modified xsi:type="dcterms:W3CDTF">2025-10-30T11:56:36Z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0x010100FDF82402B15C5A4D8161FB07F827A842</vt:lpwstr>
  </property>
</Properties>
</file>